
<file path=[Content_Types].xml><?xml version="1.0" encoding="utf-8"?>
<Types xmlns="http://schemas.openxmlformats.org/package/2006/content-types">
  <Override PartName="/xl/worksheets/sheet9.xml" ContentType="application/vnd.openxmlformats-officedocument.spreadsheetml.worksheet+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545" windowWidth="12000" windowHeight="6420" tabRatio="844" firstSheet="1" activeTab="1"/>
  </bookViews>
  <sheets>
    <sheet name="фінплан - зведені показники" sheetId="14" r:id="rId1"/>
    <sheet name="1. Фін результат" sheetId="2" r:id="rId2"/>
    <sheet name="2. Розрахунки з бюджетом" sheetId="19" r:id="rId3"/>
    <sheet name="3. Рух грошових коштів" sheetId="18" r:id="rId4"/>
    <sheet name="4. Кап. інвестиції" sheetId="3" r:id="rId5"/>
    <sheet name=" 5. Коефіцієнти" sheetId="11" r:id="rId6"/>
    <sheet name="6.1. Інша інфо_1" sheetId="10" r:id="rId7"/>
    <sheet name="6.2. Інша інфо_2" sheetId="9" r:id="rId8"/>
    <sheet name="Штатний розпис з вересня 2016" sheetId="22" state="hidden" r:id="rId9"/>
    <sheet name="Лист1" sheetId="2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s>
  <definedNames>
    <definedName name="__123Graph_XGRAPH3" hidden="1">[1]GDP!#REF!</definedName>
    <definedName name="_xlnm._FilterDatabase" localSheetId="3" hidden="1">'3. Рух грошових коштів'!$A$5:$G$116</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CPIb">[10]попер_роз!#REF!</definedName>
    <definedName name="dPPIb">[10]попер_роз!#REF!</definedName>
    <definedName name="ds">'[11]7  Інші витрати'!#REF!</definedName>
    <definedName name="Fact_Type_ID">#REF!</definedName>
    <definedName name="G">'[12]МТР Газ України'!$B$1</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[14]!ShowFil</definedName>
    <definedName name="SU_ID">#REF!</definedName>
    <definedName name="Time_ID">'[16]МТР Газ України'!$B$1</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#REF!</definedName>
    <definedName name="zx">'[4]МТР Газ України'!$F$1</definedName>
    <definedName name="zxc">[5]Inform!$E$38</definedName>
    <definedName name="а">'[13]7  Інші витрати'!#REF!</definedName>
    <definedName name="ав">#REF!</definedName>
    <definedName name="аен">'[24]МТР Газ України'!$B$4</definedName>
    <definedName name="_xlnm.Database">'[25]Ener '!$A$1:$G$2645</definedName>
    <definedName name="в">'[26]МТР Газ України'!$F$1</definedName>
    <definedName name="ватт">'[27]БАЗА  '!#REF!</definedName>
    <definedName name="Д">'[15]МТР Газ України'!$B$4</definedName>
    <definedName name="е">#REF!</definedName>
    <definedName name="є">#REF!</definedName>
    <definedName name="_xlnm.Print_Titles" localSheetId="5">' 5. Коефіцієнти'!$5:$5</definedName>
    <definedName name="_xlnm.Print_Titles" localSheetId="1">'1. Фін результат'!$6:$6</definedName>
    <definedName name="_xlnm.Print_Titles" localSheetId="2">'2. Розрахунки з бюджетом'!$6:$6</definedName>
    <definedName name="_xlnm.Print_Titles" localSheetId="3">'3. Рух грошових коштів'!$7:$7</definedName>
    <definedName name="_xlnm.Print_Titles" localSheetId="0">'фінплан - зведені показники'!$26:$26</definedName>
    <definedName name="Заголовки_для_печати_МИ">'[28]1993'!$A$1:$IV$3,'[28]1993'!$A$1:$A$65536</definedName>
    <definedName name="йуц">#REF!</definedName>
    <definedName name="йцу">#REF!</definedName>
    <definedName name="йцуйй">#REF!</definedName>
    <definedName name="йцукц">'[29]7  Інші витрати'!#REF!</definedName>
    <definedName name="і">[30]Inform!$F$2</definedName>
    <definedName name="ів">#REF!</definedName>
    <definedName name="ів___0">#REF!</definedName>
    <definedName name="ів_22">#REF!</definedName>
    <definedName name="ів_26">#REF!</definedName>
    <definedName name="іваіа">'[29]7  Інші витрати'!#REF!</definedName>
    <definedName name="іваф">#REF!</definedName>
    <definedName name="івів">'[12]МТР Газ України'!$B$1</definedName>
    <definedName name="іцу">[23]Inform!$G$2</definedName>
    <definedName name="КЕ">#REF!</definedName>
    <definedName name="КЕ___0">#REF!</definedName>
    <definedName name="КЕ_22">#REF!</definedName>
    <definedName name="КЕ_26">#REF!</definedName>
    <definedName name="кен">#REF!</definedName>
    <definedName name="л">#REF!</definedName>
    <definedName name="_xlnm.Print_Area" localSheetId="5">' 5. Коефіцієнти'!$A$1:$F$27</definedName>
    <definedName name="_xlnm.Print_Area" localSheetId="1">'1. Фін результат'!$A$1:$H$148</definedName>
    <definedName name="_xlnm.Print_Area" localSheetId="2">'2. Розрахунки з бюджетом'!$A$1:$G$43</definedName>
    <definedName name="_xlnm.Print_Area" localSheetId="3">'3. Рух грошових коштів'!$A$1:$G$120</definedName>
    <definedName name="_xlnm.Print_Area" localSheetId="4">'4. Кап. інвестиції'!$A$1:$G$19</definedName>
    <definedName name="_xlnm.Print_Area" localSheetId="6">'6.1. Інша інфо_1'!$A$1:$O$73</definedName>
    <definedName name="_xlnm.Print_Area" localSheetId="7">'6.2. Інша інфо_2'!$A$1:$AF$93</definedName>
    <definedName name="_xlnm.Print_Area" localSheetId="0">'фінплан - зведені показники'!$A$1:$G$79</definedName>
    <definedName name="п">'[13]7  Інші витрати'!#REF!</definedName>
    <definedName name="пдв">'[15]МТР Газ України'!$B$4</definedName>
    <definedName name="пдв_утг">'[15]МТР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'[15]МТР Газ України'!$B$4</definedName>
    <definedName name="фів">'[24]МТР Газ України'!$B$4</definedName>
    <definedName name="фіваіф">'[29]7  Інші витрати'!#REF!</definedName>
    <definedName name="фф">'[26]МТР Газ України'!$F$1</definedName>
    <definedName name="ц">'[13]7  Інші витрати'!#REF!</definedName>
    <definedName name="ччч">'[35]БАЗА  '!#REF!</definedName>
    <definedName name="ш">#REF!</definedName>
  </definedNames>
  <calcPr calcId="125725"/>
</workbook>
</file>

<file path=xl/calcChain.xml><?xml version="1.0" encoding="utf-8"?>
<calcChain xmlns="http://schemas.openxmlformats.org/spreadsheetml/2006/main">
  <c r="D13" i="11"/>
  <c r="E13"/>
  <c r="E19"/>
  <c r="J35" i="10"/>
  <c r="J31"/>
  <c r="J30"/>
  <c r="J29"/>
  <c r="N49"/>
  <c r="N50"/>
  <c r="M50"/>
  <c r="AF56" i="9"/>
  <c r="AE56"/>
  <c r="T55"/>
  <c r="T56"/>
  <c r="S56"/>
  <c r="AD56"/>
  <c r="E83" i="18"/>
  <c r="E82"/>
  <c r="G82" s="1"/>
  <c r="F15"/>
  <c r="G52"/>
  <c r="F52"/>
  <c r="E50"/>
  <c r="E56"/>
  <c r="E65"/>
  <c r="F25"/>
  <c r="F26"/>
  <c r="G83"/>
  <c r="F83"/>
  <c r="G81"/>
  <c r="F81"/>
  <c r="G25"/>
  <c r="E87" i="2"/>
  <c r="G26"/>
  <c r="F26"/>
  <c r="D22"/>
  <c r="D21"/>
  <c r="E22"/>
  <c r="G72" i="18"/>
  <c r="G71"/>
  <c r="F71"/>
  <c r="C50"/>
  <c r="C39"/>
  <c r="F38" i="2"/>
  <c r="F37"/>
  <c r="F36"/>
  <c r="F35"/>
  <c r="F43"/>
  <c r="G35"/>
  <c r="E140"/>
  <c r="E80" i="18" l="1"/>
  <c r="F82"/>
  <c r="G69" i="14"/>
  <c r="H31" i="10"/>
  <c r="H30"/>
  <c r="H27"/>
  <c r="T72" i="9" l="1"/>
  <c r="T78"/>
  <c r="T79"/>
  <c r="T80"/>
  <c r="T81"/>
  <c r="T82"/>
  <c r="AE47"/>
  <c r="AD40"/>
  <c r="AF40" s="1"/>
  <c r="AD41"/>
  <c r="AF41" s="1"/>
  <c r="AD42"/>
  <c r="AD43"/>
  <c r="AF43" s="1"/>
  <c r="AD44"/>
  <c r="AF44" s="1"/>
  <c r="AD45"/>
  <c r="AF45" s="1"/>
  <c r="AD46"/>
  <c r="AF46" s="1"/>
  <c r="AD47"/>
  <c r="AF47" s="1"/>
  <c r="AD48"/>
  <c r="AF48" s="1"/>
  <c r="AD49"/>
  <c r="AF49" s="1"/>
  <c r="AD50"/>
  <c r="AD51"/>
  <c r="AF51" s="1"/>
  <c r="AD52"/>
  <c r="AD53"/>
  <c r="AD54"/>
  <c r="AD55"/>
  <c r="AE55" s="1"/>
  <c r="AD57"/>
  <c r="AC37"/>
  <c r="AC38"/>
  <c r="AC39"/>
  <c r="AC40"/>
  <c r="AC41"/>
  <c r="AC42"/>
  <c r="AC43"/>
  <c r="AC44"/>
  <c r="AC45"/>
  <c r="AC46"/>
  <c r="AC47"/>
  <c r="AC48"/>
  <c r="AC49"/>
  <c r="AC50"/>
  <c r="AC51"/>
  <c r="AC52"/>
  <c r="AC53"/>
  <c r="AC54"/>
  <c r="AC55"/>
  <c r="AC57"/>
  <c r="T40"/>
  <c r="S40"/>
  <c r="T42"/>
  <c r="T43"/>
  <c r="T44"/>
  <c r="T45"/>
  <c r="T46"/>
  <c r="T47"/>
  <c r="T48"/>
  <c r="T49"/>
  <c r="T50"/>
  <c r="T51"/>
  <c r="T41"/>
  <c r="T38"/>
  <c r="T39"/>
  <c r="S41"/>
  <c r="S42"/>
  <c r="S43"/>
  <c r="S44"/>
  <c r="S45"/>
  <c r="S46"/>
  <c r="S47"/>
  <c r="S48"/>
  <c r="S49"/>
  <c r="S50"/>
  <c r="S51"/>
  <c r="T57"/>
  <c r="T54"/>
  <c r="S54"/>
  <c r="V58"/>
  <c r="X58" s="1"/>
  <c r="U58"/>
  <c r="T34"/>
  <c r="X34"/>
  <c r="W34"/>
  <c r="X59" l="1"/>
  <c r="W58"/>
  <c r="W59" s="1"/>
  <c r="V59"/>
  <c r="AF53"/>
  <c r="AE43"/>
  <c r="AF57"/>
  <c r="AE53"/>
  <c r="AE54"/>
  <c r="AE50"/>
  <c r="AE42"/>
  <c r="AE49"/>
  <c r="AE44"/>
  <c r="AF55"/>
  <c r="AE57"/>
  <c r="AE51"/>
  <c r="AE45"/>
  <c r="AE40"/>
  <c r="AF52"/>
  <c r="AE52"/>
  <c r="AE41"/>
  <c r="AE48"/>
  <c r="AF50"/>
  <c r="AF42"/>
  <c r="AF54"/>
  <c r="AE46"/>
  <c r="D35" i="10" l="1"/>
  <c r="D27"/>
  <c r="D26"/>
  <c r="D25"/>
  <c r="B25"/>
  <c r="G109" i="18"/>
  <c r="F109"/>
  <c r="G48"/>
  <c r="G49"/>
  <c r="G47"/>
  <c r="F47"/>
  <c r="G16"/>
  <c r="F16"/>
  <c r="E49"/>
  <c r="F65"/>
  <c r="E51"/>
  <c r="G51" s="1"/>
  <c r="E43"/>
  <c r="G55"/>
  <c r="F63"/>
  <c r="F64"/>
  <c r="G64"/>
  <c r="G61"/>
  <c r="G62"/>
  <c r="G63"/>
  <c r="G66"/>
  <c r="G67"/>
  <c r="G68"/>
  <c r="G69"/>
  <c r="G70"/>
  <c r="F66"/>
  <c r="F67"/>
  <c r="F68"/>
  <c r="F69"/>
  <c r="F70"/>
  <c r="F72"/>
  <c r="F51" l="1"/>
  <c r="G65"/>
  <c r="E14"/>
  <c r="G94"/>
  <c r="F94"/>
  <c r="E93"/>
  <c r="D93"/>
  <c r="F93" l="1"/>
  <c r="G93"/>
  <c r="E139" i="2"/>
  <c r="E71"/>
  <c r="G112"/>
  <c r="G111"/>
  <c r="F94"/>
  <c r="J34" i="10" l="1"/>
  <c r="E102" i="2" l="1"/>
  <c r="G77"/>
  <c r="G76"/>
  <c r="G79"/>
  <c r="F79"/>
  <c r="G82"/>
  <c r="F82"/>
  <c r="G55" l="1"/>
  <c r="G61"/>
  <c r="G54"/>
  <c r="G49"/>
  <c r="B26" i="10" l="1"/>
  <c r="B27"/>
  <c r="G84" i="18" l="1"/>
  <c r="F84"/>
  <c r="G50"/>
  <c r="F50"/>
  <c r="G80" l="1"/>
  <c r="F80"/>
  <c r="G17"/>
  <c r="F17"/>
  <c r="D34" i="10"/>
  <c r="D29"/>
  <c r="D33" s="1"/>
  <c r="C70" i="14" l="1"/>
  <c r="H26" i="10"/>
  <c r="N83" i="9" l="1"/>
  <c r="T77"/>
  <c r="S39"/>
  <c r="AD39"/>
  <c r="AE39" l="1"/>
  <c r="AF39"/>
  <c r="E42" i="18"/>
  <c r="E108"/>
  <c r="C108"/>
  <c r="C138" i="2" l="1"/>
  <c r="C71"/>
  <c r="C102"/>
  <c r="G95" l="1"/>
  <c r="G96"/>
  <c r="F96"/>
  <c r="F93" l="1"/>
  <c r="G93"/>
  <c r="E41" l="1"/>
  <c r="G43"/>
  <c r="F8" i="19" l="1"/>
  <c r="O50" i="10" l="1"/>
  <c r="L50"/>
  <c r="G50"/>
  <c r="D50"/>
  <c r="G49"/>
  <c r="D49"/>
  <c r="G11" i="2"/>
  <c r="G10"/>
  <c r="F10"/>
  <c r="J49" i="10" l="1"/>
  <c r="M49"/>
  <c r="J50"/>
  <c r="G46" i="18" l="1"/>
  <c r="F46"/>
  <c r="F55"/>
  <c r="T53" i="9"/>
  <c r="G92" i="2"/>
  <c r="F92"/>
  <c r="G88" l="1"/>
  <c r="F88"/>
  <c r="G24" i="18" l="1"/>
  <c r="G26"/>
  <c r="G9" i="3"/>
  <c r="AD38" i="9"/>
  <c r="S38"/>
  <c r="S55"/>
  <c r="S57"/>
  <c r="AE38" l="1"/>
  <c r="AF38"/>
  <c r="H25" i="10"/>
  <c r="G57" i="18" l="1"/>
  <c r="F57"/>
  <c r="C14"/>
  <c r="D139" i="2"/>
  <c r="G53"/>
  <c r="G58"/>
  <c r="F58"/>
  <c r="F61"/>
  <c r="D140"/>
  <c r="F77"/>
  <c r="J33" i="10" l="1"/>
  <c r="G43" i="18" l="1"/>
  <c r="F43"/>
  <c r="F108" l="1"/>
  <c r="G108" l="1"/>
  <c r="E73" l="1"/>
  <c r="G73" s="1"/>
  <c r="F84" i="2"/>
  <c r="G84"/>
  <c r="F73" i="18" l="1"/>
  <c r="E138" i="2"/>
  <c r="F95"/>
  <c r="F102"/>
  <c r="G102" l="1"/>
  <c r="L48" i="10" l="1"/>
  <c r="G48"/>
  <c r="D48"/>
  <c r="O48"/>
  <c r="M48" l="1"/>
  <c r="G51"/>
  <c r="J48"/>
  <c r="D51"/>
  <c r="F11" i="2"/>
  <c r="F91"/>
  <c r="F90"/>
  <c r="G89"/>
  <c r="G90"/>
  <c r="G91"/>
  <c r="G87"/>
  <c r="F87"/>
  <c r="D138"/>
  <c r="C73" i="18"/>
  <c r="M51" i="10" l="1"/>
  <c r="J51"/>
  <c r="F62" i="18"/>
  <c r="F48"/>
  <c r="S53" i="9"/>
  <c r="T76"/>
  <c r="T83"/>
  <c r="F27" i="10" l="1"/>
  <c r="L14"/>
  <c r="O49" l="1"/>
  <c r="O51" s="1"/>
  <c r="G15" i="18"/>
  <c r="R58" i="9"/>
  <c r="G140" i="2" l="1"/>
  <c r="F140"/>
  <c r="F138"/>
  <c r="F139" l="1"/>
  <c r="G139"/>
  <c r="G138"/>
  <c r="G62" l="1"/>
  <c r="F62"/>
  <c r="D14" i="18" l="1"/>
  <c r="G56"/>
  <c r="F56"/>
  <c r="T70" i="9" l="1"/>
  <c r="T75" l="1"/>
  <c r="E8" i="3" l="1"/>
  <c r="C42" i="18" l="1"/>
  <c r="D114" i="2"/>
  <c r="E114"/>
  <c r="G85"/>
  <c r="G86"/>
  <c r="C8" i="3" l="1"/>
  <c r="F114" i="2"/>
  <c r="G114"/>
  <c r="D42" i="18"/>
  <c r="G44" i="2"/>
  <c r="G46"/>
  <c r="D8"/>
  <c r="D28" i="14" s="1"/>
  <c r="D8" i="3" l="1"/>
  <c r="G42" i="18"/>
  <c r="N17" i="10"/>
  <c r="F46" i="2" l="1"/>
  <c r="C41" l="1"/>
  <c r="C22"/>
  <c r="T74" i="9" l="1"/>
  <c r="T37" l="1"/>
  <c r="E51" i="14" l="1"/>
  <c r="E36" i="19" l="1"/>
  <c r="E27" s="1"/>
  <c r="E52" i="2"/>
  <c r="E27" s="1"/>
  <c r="E144" s="1"/>
  <c r="F112"/>
  <c r="D109"/>
  <c r="E109"/>
  <c r="C109"/>
  <c r="C114"/>
  <c r="F89"/>
  <c r="F74" l="1"/>
  <c r="G74"/>
  <c r="C52" l="1"/>
  <c r="C27" s="1"/>
  <c r="C144" s="1"/>
  <c r="G60" i="18" l="1"/>
  <c r="F49"/>
  <c r="D19" l="1"/>
  <c r="E19"/>
  <c r="C19"/>
  <c r="T69" i="9"/>
  <c r="T73"/>
  <c r="T71"/>
  <c r="S35" l="1"/>
  <c r="S36"/>
  <c r="S37"/>
  <c r="S52"/>
  <c r="S34"/>
  <c r="L49" i="10"/>
  <c r="L30"/>
  <c r="L31"/>
  <c r="L29"/>
  <c r="L22"/>
  <c r="L23"/>
  <c r="L21"/>
  <c r="L15"/>
  <c r="L16"/>
  <c r="L17"/>
  <c r="L18"/>
  <c r="L19"/>
  <c r="F8" i="3"/>
  <c r="F9"/>
  <c r="F113" i="18"/>
  <c r="F96"/>
  <c r="F59"/>
  <c r="F60"/>
  <c r="F61"/>
  <c r="F24"/>
  <c r="F21"/>
  <c r="F22"/>
  <c r="F20"/>
  <c r="F19"/>
  <c r="F37" i="19"/>
  <c r="F31"/>
  <c r="F111" i="2"/>
  <c r="F110"/>
  <c r="F81"/>
  <c r="F83"/>
  <c r="F85"/>
  <c r="F86"/>
  <c r="F97"/>
  <c r="F80"/>
  <c r="F73"/>
  <c r="F75"/>
  <c r="F76"/>
  <c r="F78"/>
  <c r="F72"/>
  <c r="F54"/>
  <c r="F55"/>
  <c r="F56"/>
  <c r="F57"/>
  <c r="F60"/>
  <c r="F63"/>
  <c r="F53"/>
  <c r="F44"/>
  <c r="F24"/>
  <c r="F9"/>
  <c r="F65" i="14"/>
  <c r="F68"/>
  <c r="F29"/>
  <c r="F32"/>
  <c r="F40"/>
  <c r="D15" i="11"/>
  <c r="E15"/>
  <c r="D14"/>
  <c r="C62" i="14" s="1"/>
  <c r="E14" i="11"/>
  <c r="E62" i="14" s="1"/>
  <c r="F62" s="1"/>
  <c r="L84" i="9" l="1"/>
  <c r="G81" i="2" l="1"/>
  <c r="G75"/>
  <c r="G73"/>
  <c r="G72"/>
  <c r="G83"/>
  <c r="G80"/>
  <c r="G78"/>
  <c r="C142" l="1"/>
  <c r="C38" i="19" s="1"/>
  <c r="C141" i="2"/>
  <c r="C143"/>
  <c r="G9"/>
  <c r="C8"/>
  <c r="C21" s="1"/>
  <c r="D7" i="11" s="1"/>
  <c r="C132" i="2" l="1"/>
  <c r="C11" i="18"/>
  <c r="C23"/>
  <c r="F26" i="10" l="1"/>
  <c r="F25"/>
  <c r="L27" l="1"/>
  <c r="L25"/>
  <c r="N84" i="9"/>
  <c r="J84"/>
  <c r="F84"/>
  <c r="AD35"/>
  <c r="AD36"/>
  <c r="AD37"/>
  <c r="AD34"/>
  <c r="T36"/>
  <c r="T35"/>
  <c r="AC35"/>
  <c r="AC36"/>
  <c r="AC34"/>
  <c r="T52"/>
  <c r="Q58"/>
  <c r="AC58" s="1"/>
  <c r="G37" i="2"/>
  <c r="G97"/>
  <c r="C67" i="14"/>
  <c r="G65"/>
  <c r="G68"/>
  <c r="L26" i="10"/>
  <c r="N30"/>
  <c r="E95" i="18"/>
  <c r="E111" s="1"/>
  <c r="E142" i="2"/>
  <c r="E38" i="19" s="1"/>
  <c r="D71" i="2"/>
  <c r="D52"/>
  <c r="G24"/>
  <c r="E8"/>
  <c r="D30" i="14"/>
  <c r="D41" i="2"/>
  <c r="C125"/>
  <c r="C33" i="14" s="1"/>
  <c r="E23" i="18"/>
  <c r="G23" s="1"/>
  <c r="D23"/>
  <c r="D70" i="14" s="1"/>
  <c r="D62" s="1"/>
  <c r="E10" i="3"/>
  <c r="G10" s="1"/>
  <c r="C10"/>
  <c r="D58" i="18"/>
  <c r="C58"/>
  <c r="G32" i="14"/>
  <c r="G29"/>
  <c r="E37"/>
  <c r="D37"/>
  <c r="C37"/>
  <c r="C32"/>
  <c r="C30"/>
  <c r="C29"/>
  <c r="C28"/>
  <c r="C48"/>
  <c r="C51"/>
  <c r="F42" i="18"/>
  <c r="C95"/>
  <c r="C111" s="1"/>
  <c r="C36" i="19"/>
  <c r="C27" s="1"/>
  <c r="C127" i="2"/>
  <c r="C38" i="14" s="1"/>
  <c r="D51"/>
  <c r="F51" s="1"/>
  <c r="E141" i="2"/>
  <c r="G113" i="18"/>
  <c r="E70" i="14"/>
  <c r="G22" i="18"/>
  <c r="G21"/>
  <c r="G20"/>
  <c r="D36" i="19"/>
  <c r="D27" s="1"/>
  <c r="D142" i="2"/>
  <c r="D38" i="19" s="1"/>
  <c r="D48" i="14" s="1"/>
  <c r="D141" i="2"/>
  <c r="E143"/>
  <c r="D143"/>
  <c r="D11" i="18" s="1"/>
  <c r="G110" i="2"/>
  <c r="G56"/>
  <c r="G57"/>
  <c r="G60"/>
  <c r="G63"/>
  <c r="D95" i="18"/>
  <c r="G59"/>
  <c r="T68" i="9"/>
  <c r="T84" s="1"/>
  <c r="N18" i="10"/>
  <c r="N19"/>
  <c r="E58" i="18"/>
  <c r="E77" s="1"/>
  <c r="N21" i="10"/>
  <c r="N15"/>
  <c r="N16"/>
  <c r="N14"/>
  <c r="O26" i="22"/>
  <c r="O25"/>
  <c r="O23"/>
  <c r="M23"/>
  <c r="O22"/>
  <c r="O21"/>
  <c r="O27" s="1"/>
  <c r="N26"/>
  <c r="N25"/>
  <c r="N23"/>
  <c r="N22"/>
  <c r="N27" s="1"/>
  <c r="N21"/>
  <c r="F54"/>
  <c r="M22"/>
  <c r="M25"/>
  <c r="M26"/>
  <c r="E67" i="14"/>
  <c r="G96" i="18"/>
  <c r="G38" i="2"/>
  <c r="G36"/>
  <c r="G37" i="19"/>
  <c r="G31"/>
  <c r="F11" i="3"/>
  <c r="N22" i="10"/>
  <c r="N23"/>
  <c r="M21" i="22"/>
  <c r="E54"/>
  <c r="J53"/>
  <c r="J52"/>
  <c r="J51"/>
  <c r="J50"/>
  <c r="I49"/>
  <c r="J49" s="1"/>
  <c r="J47"/>
  <c r="J46"/>
  <c r="J45"/>
  <c r="J44"/>
  <c r="J43"/>
  <c r="J42"/>
  <c r="J41"/>
  <c r="J40"/>
  <c r="J38"/>
  <c r="J37"/>
  <c r="J36"/>
  <c r="J35"/>
  <c r="J34"/>
  <c r="J33"/>
  <c r="J32"/>
  <c r="J31"/>
  <c r="J30"/>
  <c r="J29"/>
  <c r="I29"/>
  <c r="J28"/>
  <c r="J27"/>
  <c r="J25"/>
  <c r="I25"/>
  <c r="I24"/>
  <c r="J24" s="1"/>
  <c r="I23"/>
  <c r="J23" s="1"/>
  <c r="I22"/>
  <c r="J22" s="1"/>
  <c r="J21"/>
  <c r="F49" i="2"/>
  <c r="B38" i="14"/>
  <c r="B62"/>
  <c r="B61"/>
  <c r="B60"/>
  <c r="B58"/>
  <c r="B55"/>
  <c r="B54"/>
  <c r="B53"/>
  <c r="B52"/>
  <c r="B56"/>
  <c r="B51"/>
  <c r="B49"/>
  <c r="B48"/>
  <c r="B47"/>
  <c r="B45"/>
  <c r="B44"/>
  <c r="B42"/>
  <c r="B41"/>
  <c r="B40"/>
  <c r="B39"/>
  <c r="B37"/>
  <c r="B36"/>
  <c r="B35"/>
  <c r="B34"/>
  <c r="B33"/>
  <c r="B31"/>
  <c r="B32"/>
  <c r="B30"/>
  <c r="B29"/>
  <c r="B28"/>
  <c r="AE35" i="9" l="1"/>
  <c r="AF36"/>
  <c r="AE36"/>
  <c r="AE37"/>
  <c r="AF37"/>
  <c r="AF34"/>
  <c r="C7" i="3"/>
  <c r="C6" s="1"/>
  <c r="D17" i="11" s="1"/>
  <c r="C77" i="18"/>
  <c r="C53" i="14" s="1"/>
  <c r="E145" i="2"/>
  <c r="G73" i="14"/>
  <c r="D111" i="18"/>
  <c r="E132" i="2"/>
  <c r="F143"/>
  <c r="M27" i="22"/>
  <c r="D7" i="3"/>
  <c r="F69" i="14"/>
  <c r="F73"/>
  <c r="F70"/>
  <c r="E125" i="2"/>
  <c r="F38" i="19"/>
  <c r="N26" i="10"/>
  <c r="L34"/>
  <c r="D27" i="2"/>
  <c r="F10" i="3"/>
  <c r="E7"/>
  <c r="G38" i="19"/>
  <c r="E48" i="14"/>
  <c r="F48" s="1"/>
  <c r="F27" i="19"/>
  <c r="F36"/>
  <c r="F109" i="2"/>
  <c r="F71"/>
  <c r="F141"/>
  <c r="F41"/>
  <c r="G37" i="14"/>
  <c r="F37"/>
  <c r="F22" i="2"/>
  <c r="F142"/>
  <c r="F52"/>
  <c r="F95" i="18"/>
  <c r="F58"/>
  <c r="F23"/>
  <c r="F14"/>
  <c r="AE34" i="9"/>
  <c r="S58"/>
  <c r="S59" s="1"/>
  <c r="E28" i="14"/>
  <c r="F28" s="1"/>
  <c r="F8" i="2"/>
  <c r="G70" i="14"/>
  <c r="G14" i="18"/>
  <c r="D132" i="2"/>
  <c r="E127"/>
  <c r="G52"/>
  <c r="G142"/>
  <c r="G141"/>
  <c r="G22"/>
  <c r="C128"/>
  <c r="E21"/>
  <c r="G19" i="18"/>
  <c r="C54" i="14"/>
  <c r="D77" i="18"/>
  <c r="D53" i="14" s="1"/>
  <c r="N29" i="10"/>
  <c r="G8" i="3"/>
  <c r="AF35" i="9"/>
  <c r="G51" i="14"/>
  <c r="E47"/>
  <c r="E39" i="19"/>
  <c r="L35" i="10"/>
  <c r="N31"/>
  <c r="J54" i="22"/>
  <c r="T58" i="9"/>
  <c r="R59"/>
  <c r="T59"/>
  <c r="AD58"/>
  <c r="AE58" s="1"/>
  <c r="C39" i="19"/>
  <c r="C47" i="14"/>
  <c r="C49" s="1"/>
  <c r="D125" i="2"/>
  <c r="D128"/>
  <c r="D127"/>
  <c r="G143"/>
  <c r="G71"/>
  <c r="G8"/>
  <c r="G58" i="18"/>
  <c r="N25" i="10"/>
  <c r="N27"/>
  <c r="G41" i="2"/>
  <c r="G95" i="18"/>
  <c r="E128" i="2"/>
  <c r="G36" i="19"/>
  <c r="G109" i="2"/>
  <c r="E11" i="18"/>
  <c r="E7" i="11" l="1"/>
  <c r="E104" i="2"/>
  <c r="E117" s="1"/>
  <c r="D6" i="3"/>
  <c r="D58" i="14" s="1"/>
  <c r="F64"/>
  <c r="D67"/>
  <c r="G64"/>
  <c r="G62"/>
  <c r="D144" i="2"/>
  <c r="D145" s="1"/>
  <c r="D18" i="11"/>
  <c r="C58" i="14"/>
  <c r="F7" i="3"/>
  <c r="G7"/>
  <c r="E6"/>
  <c r="G27" i="19"/>
  <c r="G48" i="14"/>
  <c r="F128" i="2"/>
  <c r="N33" i="10"/>
  <c r="L33"/>
  <c r="D47" i="14"/>
  <c r="G47" s="1"/>
  <c r="D39" i="19"/>
  <c r="F39" s="1"/>
  <c r="G28" i="14"/>
  <c r="G132" i="2"/>
  <c r="E38" i="14"/>
  <c r="F127" i="2"/>
  <c r="F27"/>
  <c r="F132"/>
  <c r="E33" i="14"/>
  <c r="F125" i="2"/>
  <c r="E54" i="14"/>
  <c r="F111" i="18"/>
  <c r="E53" i="14"/>
  <c r="F53" s="1"/>
  <c r="F77" i="18"/>
  <c r="G11"/>
  <c r="F11"/>
  <c r="E31" i="14"/>
  <c r="G27" i="2"/>
  <c r="E129"/>
  <c r="C104"/>
  <c r="C117" s="1"/>
  <c r="C145"/>
  <c r="C129"/>
  <c r="C31" i="14"/>
  <c r="E30"/>
  <c r="F21" i="2"/>
  <c r="G21"/>
  <c r="G128"/>
  <c r="G111" i="18"/>
  <c r="G77"/>
  <c r="N34" i="10"/>
  <c r="Y59" i="9"/>
  <c r="AE59"/>
  <c r="AC59"/>
  <c r="M59"/>
  <c r="D38" i="14"/>
  <c r="D33"/>
  <c r="G125" i="2"/>
  <c r="AF58" i="9"/>
  <c r="AD59"/>
  <c r="AF59"/>
  <c r="E49" i="14"/>
  <c r="D54"/>
  <c r="N35" i="10"/>
  <c r="D104" i="2"/>
  <c r="G127"/>
  <c r="D129"/>
  <c r="D31" i="14"/>
  <c r="E131" i="2" l="1"/>
  <c r="E9" i="18"/>
  <c r="E18" s="1"/>
  <c r="F67" i="14"/>
  <c r="G67"/>
  <c r="E17" i="11"/>
  <c r="E58" i="14"/>
  <c r="E18" i="11"/>
  <c r="F6" i="3"/>
  <c r="G6"/>
  <c r="G39" i="19"/>
  <c r="F47" i="14"/>
  <c r="D49"/>
  <c r="F49" s="1"/>
  <c r="F31"/>
  <c r="F38"/>
  <c r="F33"/>
  <c r="F129" i="2"/>
  <c r="F144"/>
  <c r="F54" i="14"/>
  <c r="G53"/>
  <c r="G30"/>
  <c r="F30"/>
  <c r="F104" i="2"/>
  <c r="E34" i="14"/>
  <c r="C131" i="2"/>
  <c r="C136" s="1"/>
  <c r="C35" i="14" s="1"/>
  <c r="C34"/>
  <c r="G129" i="2"/>
  <c r="G31" i="14"/>
  <c r="F145" i="2"/>
  <c r="D117"/>
  <c r="D131"/>
  <c r="D34" i="14"/>
  <c r="G33"/>
  <c r="C39"/>
  <c r="C9" i="18"/>
  <c r="C18" s="1"/>
  <c r="C122" i="2"/>
  <c r="C120" s="1"/>
  <c r="G38" i="14"/>
  <c r="G104" i="2"/>
  <c r="G144"/>
  <c r="G54" i="14"/>
  <c r="G8" i="19" l="1"/>
  <c r="F58" i="14"/>
  <c r="G58"/>
  <c r="E122" i="2"/>
  <c r="E120" s="1"/>
  <c r="G49" i="14"/>
  <c r="F34"/>
  <c r="E39"/>
  <c r="F131" i="2"/>
  <c r="C41" i="14"/>
  <c r="D11" i="11"/>
  <c r="C61" i="14"/>
  <c r="D10" i="11"/>
  <c r="C60" i="14"/>
  <c r="D9" i="11"/>
  <c r="D8"/>
  <c r="C27" i="18"/>
  <c r="C29" s="1"/>
  <c r="C115" s="1"/>
  <c r="E136" i="2"/>
  <c r="E35" i="14" s="1"/>
  <c r="G117" i="2"/>
  <c r="G131"/>
  <c r="G145"/>
  <c r="D39" i="14"/>
  <c r="F117" i="2"/>
  <c r="D9" i="18"/>
  <c r="F9" s="1"/>
  <c r="D122" i="2"/>
  <c r="D136"/>
  <c r="G34" i="14"/>
  <c r="F19" i="19" l="1"/>
  <c r="F122" i="2"/>
  <c r="G39" i="14"/>
  <c r="E8" i="11"/>
  <c r="E36" i="14" s="1"/>
  <c r="F136" i="2"/>
  <c r="F39" i="14"/>
  <c r="C36"/>
  <c r="D36"/>
  <c r="C52"/>
  <c r="E9" i="11"/>
  <c r="E60" i="14" s="1"/>
  <c r="E10" i="11"/>
  <c r="E61" i="14" s="1"/>
  <c r="E11" i="11"/>
  <c r="D35" i="14"/>
  <c r="F35" s="1"/>
  <c r="E41"/>
  <c r="D18" i="18"/>
  <c r="E27"/>
  <c r="D120" i="2"/>
  <c r="G136"/>
  <c r="G9" i="18"/>
  <c r="G122" i="2"/>
  <c r="C56" i="14" l="1"/>
  <c r="C66"/>
  <c r="C116" i="18"/>
  <c r="G19" i="19"/>
  <c r="G36" i="14"/>
  <c r="F36"/>
  <c r="D61"/>
  <c r="D60"/>
  <c r="F18" i="18"/>
  <c r="D27"/>
  <c r="G27" s="1"/>
  <c r="G35" i="14"/>
  <c r="E29" i="18"/>
  <c r="E115" s="1"/>
  <c r="E117" s="1"/>
  <c r="D41" i="14"/>
  <c r="F41" s="1"/>
  <c r="F120" i="2"/>
  <c r="G18" i="18"/>
  <c r="G120" i="2"/>
  <c r="G61" i="14" l="1"/>
  <c r="F61"/>
  <c r="G60"/>
  <c r="F60"/>
  <c r="E66"/>
  <c r="F27" i="18"/>
  <c r="E52" i="14"/>
  <c r="D29" i="18"/>
  <c r="G41" i="14"/>
  <c r="G29" i="18" l="1"/>
  <c r="D115"/>
  <c r="D66" i="14" s="1"/>
  <c r="F29" i="18"/>
  <c r="E116"/>
  <c r="E56" i="14"/>
  <c r="D52"/>
  <c r="F52" s="1"/>
  <c r="G115" i="18" l="1"/>
  <c r="F115"/>
  <c r="D56" i="14"/>
  <c r="F56" s="1"/>
  <c r="D116" i="18"/>
  <c r="F116" s="1"/>
  <c r="G52" i="14"/>
  <c r="F66" l="1"/>
  <c r="G66"/>
  <c r="G116" i="18"/>
  <c r="G56" i="14"/>
</calcChain>
</file>

<file path=xl/sharedStrings.xml><?xml version="1.0" encoding="utf-8"?>
<sst xmlns="http://schemas.openxmlformats.org/spreadsheetml/2006/main" count="942" uniqueCount="711">
  <si>
    <t>Код рядка</t>
  </si>
  <si>
    <t>капітальне будівництво</t>
  </si>
  <si>
    <t>придбання (виготовлення) основних засобів</t>
  </si>
  <si>
    <t>придбання (створення) нематеріальних активів</t>
  </si>
  <si>
    <t>Фінансовий результат від операційної діяльності</t>
  </si>
  <si>
    <t>Витрати на оплату праці</t>
  </si>
  <si>
    <t>Відрахування на соціальні заходи</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</si>
  <si>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</si>
  <si>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</si>
  <si>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</si>
  <si>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</si>
  <si>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</si>
  <si>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</si>
  <si>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</si>
  <si>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</si>
  <si>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</si>
  <si>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</si>
  <si>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</si>
  <si>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</si>
  <si>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</si>
  <si>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</si>
  <si>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витрати на страхові послуги</t>
  </si>
  <si>
    <t>витрати на аудиторські послуги</t>
  </si>
  <si>
    <t>Валовий прибуток (збиток)</t>
  </si>
  <si>
    <t xml:space="preserve">прибуток </t>
  </si>
  <si>
    <t>збиток</t>
  </si>
  <si>
    <t>Резервний фонд</t>
  </si>
  <si>
    <t>неустойки (штрафи, пені)</t>
  </si>
  <si>
    <t>витрати на паливо та енергію</t>
  </si>
  <si>
    <t>Інші операційні витрати</t>
  </si>
  <si>
    <t>придбання (виготовлення) інших необоротних матеріальних активів</t>
  </si>
  <si>
    <t>Факт минулого року</t>
  </si>
  <si>
    <t>Виручка від реалізації основних фондів</t>
  </si>
  <si>
    <t xml:space="preserve">Виручка від реалізації нематеріальних активів </t>
  </si>
  <si>
    <t>на початок періоду</t>
  </si>
  <si>
    <t>Чистий грошовий потік</t>
  </si>
  <si>
    <t>Забезпечення</t>
  </si>
  <si>
    <t>х</t>
  </si>
  <si>
    <t>витрати на службові відрядження</t>
  </si>
  <si>
    <t>витрати на зв’язок</t>
  </si>
  <si>
    <t>витрати на оплату праці</t>
  </si>
  <si>
    <t>відрахування на соціальні заходи</t>
  </si>
  <si>
    <t>амортизація основних засобів і нематеріальних активів загальногосподарського призначення</t>
  </si>
  <si>
    <t>витрати на операційну оренду основних засобів та роялті, що мають загальногосподарське призначення</t>
  </si>
  <si>
    <t>витрати на страхування майна загальногосподарського призначення</t>
  </si>
  <si>
    <t>витрати на страхування загальногосподарського персоналу</t>
  </si>
  <si>
    <t xml:space="preserve">організаційно-технічні послуги </t>
  </si>
  <si>
    <t>юридичні послуги</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</si>
  <si>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</si>
  <si>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</si>
  <si>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</si>
  <si>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відрахування до резерву сумнівних боргів</t>
  </si>
  <si>
    <t>№ з/п</t>
  </si>
  <si>
    <t xml:space="preserve">Надходження від продажу акцій та облігацій </t>
  </si>
  <si>
    <t xml:space="preserve">Придбання акцій та облігацій  </t>
  </si>
  <si>
    <t>на кінець періоду</t>
  </si>
  <si>
    <t>Залучення кредитних коштів</t>
  </si>
  <si>
    <t>Усього</t>
  </si>
  <si>
    <t>Відсоток</t>
  </si>
  <si>
    <t>Залишок нерозподіленого прибутку (непокритого збитку) на початок звітного періоду</t>
  </si>
  <si>
    <t>Залишок нерозподіленого прибутку (непокритого збитку) на кінець звітного періоду</t>
  </si>
  <si>
    <t>відрахування до недержавних пенсійних фондів</t>
  </si>
  <si>
    <t>витрати на консалтингові послуги</t>
  </si>
  <si>
    <t>амортизація основних засобів і нематеріальних активів</t>
  </si>
  <si>
    <t>витрати на електроенергію</t>
  </si>
  <si>
    <t xml:space="preserve">витрати на паливо </t>
  </si>
  <si>
    <t>консультаційні та інформаційні послуги</t>
  </si>
  <si>
    <t>Зобов'язання</t>
  </si>
  <si>
    <t xml:space="preserve">Сума, валюта за договорами </t>
  </si>
  <si>
    <t>Процентна ставка</t>
  </si>
  <si>
    <t>модернізація, модифікація (добудова, дообладнання, реконструкція) основних засобів</t>
  </si>
  <si>
    <t>Розвиток виробництва</t>
  </si>
  <si>
    <t>витрати на благодійну допомогу</t>
  </si>
  <si>
    <t xml:space="preserve">Вид кредитного продукту та цільове призначення </t>
  </si>
  <si>
    <t xml:space="preserve">      4. Діючі фінансові зобов'язання підприємства</t>
  </si>
  <si>
    <t xml:space="preserve">      5. Інформація щодо отримання та повернення залучених коштів</t>
  </si>
  <si>
    <t>витрати на утримання основних фондів, інших необоротних активів загальногосподарського використання,  у тому числі:</t>
  </si>
  <si>
    <t>(посада)</t>
  </si>
  <si>
    <t>(підпис)</t>
  </si>
  <si>
    <t>витрати на рекламу</t>
  </si>
  <si>
    <t>Інші операційні витрати, усього, у тому числі:</t>
  </si>
  <si>
    <t>Капітальні інвестиції, усього,
у тому числі:</t>
  </si>
  <si>
    <t>податок на доходи фізичних осіб</t>
  </si>
  <si>
    <t xml:space="preserve">Єдиний внесок на загальнообов'язкове державне соціальне страхування                              </t>
  </si>
  <si>
    <t>акцизний податок</t>
  </si>
  <si>
    <t>Вид діяльності</t>
  </si>
  <si>
    <t>Заборгованість на останню дату</t>
  </si>
  <si>
    <t>Бюджетне фінансування</t>
  </si>
  <si>
    <t>інші платежі (розшифрувати)</t>
  </si>
  <si>
    <t>Дата видачі / погашення (графік)</t>
  </si>
  <si>
    <t>кредити</t>
  </si>
  <si>
    <t>Отримання коштів  за довгостроковими зобов'язаннями, у тому числі:</t>
  </si>
  <si>
    <t>Повернення коштів за короткостроковими зобов'язаннями, у тому числі:</t>
  </si>
  <si>
    <t>Отримання коштів за короткостроковими зобов'язаннями, у тому числі:</t>
  </si>
  <si>
    <t>Повернення коштів  за довгостроковими зобов'язаннями, у тому числі:</t>
  </si>
  <si>
    <t xml:space="preserve">позики </t>
  </si>
  <si>
    <t>Фінансовий результат до оподаткування</t>
  </si>
  <si>
    <t>Чистий  фінансовий результат, у тому числі:</t>
  </si>
  <si>
    <t>І. Формування фінансових результатів</t>
  </si>
  <si>
    <t>плата за користування надрами</t>
  </si>
  <si>
    <t>Оптимальне значення</t>
  </si>
  <si>
    <t>&gt; 0</t>
  </si>
  <si>
    <t xml:space="preserve">         (ініціали, прізвище)    </t>
  </si>
  <si>
    <t>у тому числі:</t>
  </si>
  <si>
    <t>рентна плата за транспортування</t>
  </si>
  <si>
    <t>Середньооблікова кількість штатних працівників</t>
  </si>
  <si>
    <t>витрати, пов'язані з використанням власних службових автомобілів</t>
  </si>
  <si>
    <t>Чистий дохід від реалізації продукції (товарів, робіт, послуг) (розшифрувати)</t>
  </si>
  <si>
    <t>Дохід від участі в капіталі (розшифрувати)</t>
  </si>
  <si>
    <t>Інші фінансові доходи (розшифрувати)</t>
  </si>
  <si>
    <t>інші адміністративні витрати (розшифрувати)</t>
  </si>
  <si>
    <t>Фінансові витрати (розшифрувати)</t>
  </si>
  <si>
    <t>Втрати від участі в капіталі (розшифрувати)</t>
  </si>
  <si>
    <t>Інші витрати (розшифрувати)</t>
  </si>
  <si>
    <t>Інші фонди (розшифрувати)</t>
  </si>
  <si>
    <t>Інші цілі (розшифрувати)</t>
  </si>
  <si>
    <t>місцеві податки та збори (розшифрувати)</t>
  </si>
  <si>
    <t>Цільове фінансування  (розшифрувати)</t>
  </si>
  <si>
    <t xml:space="preserve">Інші надходження (розшифрувати) </t>
  </si>
  <si>
    <t xml:space="preserve">Придбання (створення) основних засобів (розшифрувати) </t>
  </si>
  <si>
    <t xml:space="preserve">Капітальне будівництво (розшифрувати) </t>
  </si>
  <si>
    <t xml:space="preserve">Придбання (створення) нематеріальних активів (розшифрувати) </t>
  </si>
  <si>
    <t>облігації</t>
  </si>
  <si>
    <t>інші витрати (розшифрувати)</t>
  </si>
  <si>
    <t>інші витрати на збут (розшифрувати)</t>
  </si>
  <si>
    <t>Собівартість реалізованої продукції (товарів, робіт, послуг) (розшифрувати)</t>
  </si>
  <si>
    <t>Найменування  банку</t>
  </si>
  <si>
    <t>Інші джерела (розшифрувати)</t>
  </si>
  <si>
    <t>(ініціали, прізвище)</t>
  </si>
  <si>
    <t>за КОАТУУ</t>
  </si>
  <si>
    <t>за КОПФГ</t>
  </si>
  <si>
    <t xml:space="preserve">за ЄДРПОУ </t>
  </si>
  <si>
    <t>у тому числі за основними видами діяльності за КВЕД</t>
  </si>
  <si>
    <t>погашення реструктуризованих та відстрочених сум, що підлягають сплаті в поточному році до бюджетів та державних цільових фондів</t>
  </si>
  <si>
    <t>(найменування підприємства)</t>
  </si>
  <si>
    <t>Середньооблікова чисельність осіб, у тому числі:</t>
  </si>
  <si>
    <t>План минулого року</t>
  </si>
  <si>
    <t>Код за ЄДРПОУ</t>
  </si>
  <si>
    <t>Витрати на збут</t>
  </si>
  <si>
    <t>Витрати (дохід) з податку на прибуток</t>
  </si>
  <si>
    <t xml:space="preserve">Прибуток (збиток) від  припиненої діяльності після оподаткування </t>
  </si>
  <si>
    <t>Адміністративні витрати</t>
  </si>
  <si>
    <t>Інші операційні доходи/витрати</t>
  </si>
  <si>
    <t>EBITDA</t>
  </si>
  <si>
    <t>Доходи/витрати від фінансової та інвестиційної діяльності</t>
  </si>
  <si>
    <t>Грошові кошти на початок періоду</t>
  </si>
  <si>
    <t>Чистий рух грошових коштів від операційної діяльності</t>
  </si>
  <si>
    <t>Чистий рух грошових коштів від фінансової діяльності</t>
  </si>
  <si>
    <t>Грошові кошти на кінець періоду</t>
  </si>
  <si>
    <t>Необоротні активи</t>
  </si>
  <si>
    <t>Оборотні активи</t>
  </si>
  <si>
    <t>Власний капітал</t>
  </si>
  <si>
    <t>Розподіл чистого прибутку</t>
  </si>
  <si>
    <t xml:space="preserve">Нараховані до сплати обов'язкові платежі підприємства до бюджету та єдиний внесок на загальнообов'язкове державне соціальне страхування </t>
  </si>
  <si>
    <t>ІІІ. Рух грошових коштів</t>
  </si>
  <si>
    <t>Податок на прибуток підприємств</t>
  </si>
  <si>
    <t>IІ. Розрахунки з бюджетом</t>
  </si>
  <si>
    <t>Чистий рух грошових коштів операційної діяльності</t>
  </si>
  <si>
    <t>І. Рух коштів у результаті операційної діяльності</t>
  </si>
  <si>
    <t>II. Рух коштів у результаті інвестиційної діяльності</t>
  </si>
  <si>
    <t>Чистий рух коштів від інвестиційної діяльності </t>
  </si>
  <si>
    <t>III. Рух коштів у результаті фінансової діяльності</t>
  </si>
  <si>
    <t>Чистий рух коштів від фінансової діяльності </t>
  </si>
  <si>
    <t>Надходження від отриманих:</t>
  </si>
  <si>
    <t>відсотків </t>
  </si>
  <si>
    <t>дивідендів </t>
  </si>
  <si>
    <t>Надходження від деривативів</t>
  </si>
  <si>
    <t>Власного капіталу </t>
  </si>
  <si>
    <t>Розрахунок показника EBITDA</t>
  </si>
  <si>
    <t>Коефіцієнт рентабельності власного капіталу</t>
  </si>
  <si>
    <t xml:space="preserve">Вплив зміни валютних курсів на залишок коштів </t>
  </si>
  <si>
    <t>Довгострокові зобов'язання і забезпечення</t>
  </si>
  <si>
    <t>Поточні зобов'язання і забезпечення</t>
  </si>
  <si>
    <t>Коефіцієнт рентабельності активів</t>
  </si>
  <si>
    <t>погашення податкового боргу, у тому числі:</t>
  </si>
  <si>
    <t>Собівартість реалізованої продукції (товарів, робіт, послуг)</t>
  </si>
  <si>
    <t>&gt; 1</t>
  </si>
  <si>
    <t xml:space="preserve">Прибуток (збиток) від звичайної діяльності до оподаткування </t>
  </si>
  <si>
    <t>Коригування на:</t>
  </si>
  <si>
    <t>Грошові кошти від операційної діяльності</t>
  </si>
  <si>
    <t>Сплачений податок на прибуток</t>
  </si>
  <si>
    <t>амортизацію необоротних активів</t>
  </si>
  <si>
    <t xml:space="preserve">збільшення (зменшення) забезпечень  </t>
  </si>
  <si>
    <t xml:space="preserve">збиток (прибуток) від нереалізованих курсових різниць </t>
  </si>
  <si>
    <t>збиток (прибуток) від неопераційної діяльності та інших негрошових операцій (розшифрувати)</t>
  </si>
  <si>
    <t>Зменшення (збільшення) оборотних активів (розшифрувати)</t>
  </si>
  <si>
    <t>Збільшення (зменшення) поточних зобов’язань (розшифрувати)</t>
  </si>
  <si>
    <t>транспортні витрати</t>
  </si>
  <si>
    <t>витрати на зберігання та упаковку</t>
  </si>
  <si>
    <t>Коефіцієнти рентабельності та прибутковості</t>
  </si>
  <si>
    <t>Аналіз капітальних інвестицій</t>
  </si>
  <si>
    <t>Коефіцієнти фінансової стійкості та ліквідності</t>
  </si>
  <si>
    <t>Стандарти звітності П(с)БОУ</t>
  </si>
  <si>
    <t>Стандарти звітності МСФЗ</t>
  </si>
  <si>
    <t>Перенесено з додаткового капіталу</t>
  </si>
  <si>
    <t>Марка</t>
  </si>
  <si>
    <t>Рік придбання</t>
  </si>
  <si>
    <t>Витрати, усього</t>
  </si>
  <si>
    <t>матеріальні витрати</t>
  </si>
  <si>
    <t>оплата праці</t>
  </si>
  <si>
    <t>амортизація</t>
  </si>
  <si>
    <t>інші витрати</t>
  </si>
  <si>
    <t>Договір</t>
  </si>
  <si>
    <t>Дата початку оренди</t>
  </si>
  <si>
    <t>Сума орендної плати</t>
  </si>
  <si>
    <t>Основні фінансові показники</t>
  </si>
  <si>
    <t>Чистий дохід від реалізації продукції (товарів, робіт, послуг)</t>
  </si>
  <si>
    <t>Відрахування частини чистого прибутку, усього, у тому числі:</t>
  </si>
  <si>
    <t>витрати на оренду службових автомобілів</t>
  </si>
  <si>
    <t>№</t>
  </si>
  <si>
    <t>Загальна кошторисна вартість</t>
  </si>
  <si>
    <t>Первісна балансова вартість введених потужностей на початок планового року</t>
  </si>
  <si>
    <t>Капітальні інвестиції</t>
  </si>
  <si>
    <t>IV. Капітальні інвестиції</t>
  </si>
  <si>
    <t>VI. Звіт про фінансовий стан</t>
  </si>
  <si>
    <t>V. Коефіцієнтний аналіз</t>
  </si>
  <si>
    <t>8. Джерела капітальних інвестицій</t>
  </si>
  <si>
    <t>Інші операційні доходи (розшифрувати), у тому числі:</t>
  </si>
  <si>
    <t>курсові різниці</t>
  </si>
  <si>
    <t>Інші доходи (розшифрувати), у тому числі:</t>
  </si>
  <si>
    <t>Інші витрати (розшифрувати), у тому числі:</t>
  </si>
  <si>
    <t>2145/1</t>
  </si>
  <si>
    <t>2145/2</t>
  </si>
  <si>
    <t>4010</t>
  </si>
  <si>
    <t>Таблиця 1</t>
  </si>
  <si>
    <t>Таблиця 2</t>
  </si>
  <si>
    <t>Таблиця 3</t>
  </si>
  <si>
    <t>Адміністративні витрати, у тому числі:</t>
  </si>
  <si>
    <t>Витрати на збут, у тому числі:</t>
  </si>
  <si>
    <t>Рентабельність EBITDA</t>
  </si>
  <si>
    <t>Чистий  фінансовий результат</t>
  </si>
  <si>
    <t>Коефіцієнт рентабельності діяльності</t>
  </si>
  <si>
    <t>Коефіцієнт фінансової стійкості</t>
  </si>
  <si>
    <t>Інші доходи/витрати</t>
  </si>
  <si>
    <t>Чистий рух грошових коштів від інвестиційної діяльності</t>
  </si>
  <si>
    <t>Елементи операційних витрат</t>
  </si>
  <si>
    <t>тис. гривень (без ПДВ)</t>
  </si>
  <si>
    <t>Факт</t>
  </si>
  <si>
    <t>Додаток 3</t>
  </si>
  <si>
    <t>ЗВІТ</t>
  </si>
  <si>
    <t>Продовження додатка 3</t>
  </si>
  <si>
    <t>План</t>
  </si>
  <si>
    <t xml:space="preserve">чистий дохід  від реалізації продукції (товарів, робіт, послуг) </t>
  </si>
  <si>
    <t xml:space="preserve">кількість продукції/     наданих послуг </t>
  </si>
  <si>
    <t>Заборгованість за кредитами на початок звітного періоду</t>
  </si>
  <si>
    <t>Отримано залучених коштів за звітний період</t>
  </si>
  <si>
    <t>план</t>
  </si>
  <si>
    <t>факт</t>
  </si>
  <si>
    <t>Повернено залучених коштів  за звітний період</t>
  </si>
  <si>
    <t>Заборгованість на кінець звітного періоду</t>
  </si>
  <si>
    <t xml:space="preserve">      3. Інформація про бізнес підприємства (код рядка 1000 фінансового плану)</t>
  </si>
  <si>
    <t>6. Витрати, пов'язані з використанням власних службових автомобілів (у складі адміністративних витрат, рядок 1041)</t>
  </si>
  <si>
    <t>7. Витрати на оренду службових автомобілів (у складі адміністративних витрат, рядок 1042)</t>
  </si>
  <si>
    <t>Найменування об’єкта</t>
  </si>
  <si>
    <t>9. Капітальне будівництво (рядок 4010 таблиці 4)</t>
  </si>
  <si>
    <t>Прибуток (збиток) від операційної діяльності до змін в оборотному капіталі</t>
  </si>
  <si>
    <t>Інші поточні податки, збори, обов'язкові платежі до державного та місцевих бюджетів, у тому числі:</t>
  </si>
  <si>
    <t>Сплата інших податків, зборів, обов'язкових платежів до державного та місцевих бюджетів</t>
  </si>
  <si>
    <t xml:space="preserve">          </t>
  </si>
  <si>
    <t>Коди</t>
  </si>
  <si>
    <t>Таблиця 6</t>
  </si>
  <si>
    <t>витрати, що здійснюються для підтримання об’єкта в робочому стані (проведення ремонту, технічного огляду, нагляду, обслуговування тощо)</t>
  </si>
  <si>
    <t>інші операційні витрати (розшифрувати)</t>
  </si>
  <si>
    <t>Неконтрольована частка</t>
  </si>
  <si>
    <t xml:space="preserve">план </t>
  </si>
  <si>
    <t>Валовий прибуток/збиток</t>
  </si>
  <si>
    <t>Усього виплат на користь держави</t>
  </si>
  <si>
    <t>Усього активи</t>
  </si>
  <si>
    <t>Усього зобов'язання і забезпечення</t>
  </si>
  <si>
    <t>у тому числі грошові кошти та їх еквіваленти</t>
  </si>
  <si>
    <t>у тому числі державні гранти і субсидії</t>
  </si>
  <si>
    <t>у тому числі фінансові запозичення</t>
  </si>
  <si>
    <t>Доходи і витрати (деталізація)</t>
  </si>
  <si>
    <t xml:space="preserve">пояснення та обґрунтування відхилення від запланованого рівня доходів/витрат                               </t>
  </si>
  <si>
    <t>відхилення,  +/–</t>
  </si>
  <si>
    <t>виконання, %</t>
  </si>
  <si>
    <t>Доходи і витрати (узагальнені показники)</t>
  </si>
  <si>
    <t>Інші операційні доходи/витрати
(рядок 1030 - рядок 1080)</t>
  </si>
  <si>
    <t>Доходи/витрати від фінансової та інвестиційної діяльності
(рядок 1110 + рядок 1120 - рядок 1130 - рядок 1140)</t>
  </si>
  <si>
    <t>Інші доходи/витрати
(рядок 1150 - рядок 1160)</t>
  </si>
  <si>
    <t>Фінансовий результат від операційної діяльності, рядок 1100</t>
  </si>
  <si>
    <t>плюс амортизація, рядок 1530</t>
  </si>
  <si>
    <t>мінус операційні доходи від курсових різниць, рядок 1031</t>
  </si>
  <si>
    <t>плюс операційні витрати від курсових різниць, рядок 1084</t>
  </si>
  <si>
    <t>Матеріальні витрати, у тому числі:</t>
  </si>
  <si>
    <t>витрати на сировину та основні матеріали</t>
  </si>
  <si>
    <t>Найменування показника</t>
  </si>
  <si>
    <t xml:space="preserve">Надходження </t>
  </si>
  <si>
    <t>Витрати</t>
  </si>
  <si>
    <t>Сплата дивідендів на державну частку/частини чистого прибутку</t>
  </si>
  <si>
    <t>Перерахування коштів державі як власнику</t>
  </si>
  <si>
    <t xml:space="preserve">вплив зміни валютних курсів на залишок коштів </t>
  </si>
  <si>
    <t>Продовження  таблиці 6</t>
  </si>
  <si>
    <t>Відхилення,  +/–</t>
  </si>
  <si>
    <t>Виконання, %</t>
  </si>
  <si>
    <t>керівники</t>
  </si>
  <si>
    <t>професіонали</t>
  </si>
  <si>
    <t>фахівці</t>
  </si>
  <si>
    <t>технічні службовці</t>
  </si>
  <si>
    <t>робітники</t>
  </si>
  <si>
    <t>інші категорії</t>
  </si>
  <si>
    <t>адміністративно-управлінський персонал</t>
  </si>
  <si>
    <t>директор</t>
  </si>
  <si>
    <t>працівники</t>
  </si>
  <si>
    <t>Середньомісячна заробітна плата одного працівника, гривень</t>
  </si>
  <si>
    <t>Середньомісячний дохід одного працівника, гривень</t>
  </si>
  <si>
    <t>У тому числі за їх видами</t>
  </si>
  <si>
    <t>освоєння капітальних вкладень</t>
  </si>
  <si>
    <t>власні кошти</t>
  </si>
  <si>
    <t>кредитні кошти</t>
  </si>
  <si>
    <t>усього на рік</t>
  </si>
  <si>
    <t>фінансування капітальних інвестицій (оплата грошовими коштами), усього</t>
  </si>
  <si>
    <t xml:space="preserve">у тому числі </t>
  </si>
  <si>
    <t>Власні кошти (розшифрувати)</t>
  </si>
  <si>
    <t xml:space="preserve">Довгострокові зобов'язання, усього </t>
  </si>
  <si>
    <t>Короткострокові зобов'язання, усього</t>
  </si>
  <si>
    <t>Інші фінансові зобов'язання, усього</t>
  </si>
  <si>
    <t>Зміна ціни одиниці  (вартості продукції/     наданих послуг)</t>
  </si>
  <si>
    <t>ціна одиниці     (вартість  продукції/     наданих послуг), гривень</t>
  </si>
  <si>
    <t>кількість продукції/             наданих послуг, одиниця виміру</t>
  </si>
  <si>
    <t>чистий дохід  від реалізації продукції (товарів, робіт, послуг),     тис. гривень</t>
  </si>
  <si>
    <t>2120/2130</t>
  </si>
  <si>
    <t>Грошові кошти</t>
  </si>
  <si>
    <t>Примітки</t>
  </si>
  <si>
    <t>Плановий рік, усього</t>
  </si>
  <si>
    <t>План звітного періоду</t>
  </si>
  <si>
    <t>Факт звітного періоду</t>
  </si>
  <si>
    <t xml:space="preserve">(ініціали, прізвище)    </t>
  </si>
  <si>
    <t>Одиниця виміру, тис. гривень</t>
  </si>
  <si>
    <t>мінус/плюс значні нетипові операційні доходи/витрати (розшифрувати)</t>
  </si>
  <si>
    <t>Коефіцієнт рентабельності активів
(чистий фінансовий результат, рядок 1190 / вартість активів, рядок 6030)</t>
  </si>
  <si>
    <t>Коефіцієнт рентабельності власного капіталу
(чистий фінансовий результат, рядок 1190 / власний капітал, рядок 6090)</t>
  </si>
  <si>
    <t>Коефіцієнт рентабельності діяльності
(чистий фінансовий результат, рядок 1190 / чистий дохід від реалізації продукції (товарів, робіт, послуг), рядок 1000)</t>
  </si>
  <si>
    <t>Коефіцієнт фінансової стійкості
(власний капітал, рядок 6090 / довгострокові зобов'язання, рядок 6040 + поточні зобов'язання, рядок 6050)</t>
  </si>
  <si>
    <t>Коефіцієнт поточної ліквідності (покриття)
(оборотні активи, рядок 6010 / поточні зобов'язання, рядок 6050)</t>
  </si>
  <si>
    <t>Коефіцієнт відношення капітальних інвестицій до амортизації
(рядок 4000 / рядок 1530)</t>
  </si>
  <si>
    <t>Ковенанти/обмежувальні коефіцієнти</t>
  </si>
  <si>
    <t>Коефіцієнт відношення боргу до EBITDA
(довгострокові зобов'язання, рядок 6040 + поточні зобов'язання,                                                рядок 6050 / EBITDA, рядок 1410)</t>
  </si>
  <si>
    <t xml:space="preserve">Найменування об’єкта </t>
  </si>
  <si>
    <t>Інформація щодо проектно-кошторисної документації (стан розроблення, затвердження, у разі затвердження зазначити орган, яким затверджено, та відповідний документ)</t>
  </si>
  <si>
    <t>Документ, яким затверджений титул будови, із зазначенням органу, який його погодив</t>
  </si>
  <si>
    <t>Податок на додану вартість, нарахований до сплати до державного бюджету за підсумками звітного періоду</t>
  </si>
  <si>
    <t>Податок на додану вартість, що підлягає відшкодуванню з державного бюджету за підсумками звітного періоду</t>
  </si>
  <si>
    <t>Збільшення</t>
  </si>
  <si>
    <t>Характеризує ефективність використання активів підприємства</t>
  </si>
  <si>
    <t>Характеризує ефективність господарської діяльності підприємства</t>
  </si>
  <si>
    <t>Характеризує співвідношення власних та позикових коштів і залежність підприємства від зовнішніх фінансових джерел</t>
  </si>
  <si>
    <t>Характеризує інвестиційну політику підприємства</t>
  </si>
  <si>
    <t>Показує достатність ресурсів підприємства, які може бути використано для погашення його поточних зобов'язань.  Нормативним значенням для цього показника є &gt; 1–1,5</t>
  </si>
  <si>
    <t>Мета використання</t>
  </si>
  <si>
    <t xml:space="preserve">У разі збільшення витрат  на оплату праці в плановому році порівняно до запланованих та порівняно з попереднім роком обов'язково надаються відповідні обґрунтування. </t>
  </si>
  <si>
    <t>Валова рентабельність
(валовий прибуток, рядок 1020 / чистий дохід від реалізації продукції (товарів, робіт, послуг), рядок 1000, %)</t>
  </si>
  <si>
    <t>Рентабельність EBITDA
(EBITDA, рядок 1410 / чистий дохід від реалізації продукції (товарів, робіт, послуг), рядок 1000, %)</t>
  </si>
  <si>
    <t>Коефіцієнт зносу основних засобів 
(сума зносу / первісна вартість основних засобів) 
(форма 1, рядок 1012 / форма 1, рядок 1011)</t>
  </si>
  <si>
    <t>Інші коефіцієнти/ковенанти, якщо такі передбачені умовами кредитних договорів, із зазначенням банку, валюти та суми зобов'язання на дату останньої звітності, строку погашення. У графі "Оптимальне значення" вказати граничне значення коефіцієнта</t>
  </si>
  <si>
    <t>Звітний період</t>
  </si>
  <si>
    <t>(І квартал, півріччя, 9 місяців, рік)</t>
  </si>
  <si>
    <t>Минулий рік (аналогічний період)</t>
  </si>
  <si>
    <t>до Порядку складання, затвердження та контролю виконання фінансових планів підприємств комунальної власності територіальної громади міста Дніпропетровська</t>
  </si>
  <si>
    <t>Відрахування частини чистого прибутку</t>
  </si>
  <si>
    <t xml:space="preserve">Усього виплат </t>
  </si>
  <si>
    <t>внесок 15 % чистого прибутку до загального фонду міського бюджету</t>
  </si>
  <si>
    <t>внесок 60 % частини прибутку, який залишається в розпорядженні підприємства після оподаткування відповідно до чинного законодавства та сплати 15 % чистого прибутку до загального фонду міського бюджету</t>
  </si>
  <si>
    <t xml:space="preserve">     (ініціали, прізвище)    </t>
  </si>
  <si>
    <t>Коефіцієнт відношення капітальних інвестицій до чистого доходу (виручки) від реалізації продукції (товарів, робіт, послуг) (рядок 4000 / рядок 1000)</t>
  </si>
  <si>
    <r>
      <t>у тому числі:</t>
    </r>
    <r>
      <rPr>
        <i/>
        <sz val="16"/>
        <rFont val="Times New Roman"/>
        <family val="1"/>
        <charset val="204"/>
      </rPr>
      <t xml:space="preserve"> </t>
    </r>
  </si>
  <si>
    <t>Фонд оплати праці, тис. гривень,  у тому числі:</t>
  </si>
  <si>
    <t>Плановий  період</t>
  </si>
  <si>
    <t>відхи-лення,  +/–</t>
  </si>
  <si>
    <t>вико-нання, %</t>
  </si>
  <si>
    <t>Рік початку        і закінчення будів-
ництва</t>
  </si>
  <si>
    <t>Незавер-
шене будівництво на початок планового року</t>
  </si>
  <si>
    <t xml:space="preserve">      2. Перелік відокремлених підрозділів підприємства, які включені до консолідованого (зведеного) фінансового плану</t>
  </si>
  <si>
    <t>Найменування відокремленого підрозділу підприємства</t>
  </si>
  <si>
    <t xml:space="preserve"> </t>
  </si>
  <si>
    <t>Таблиця І. Формування фінансових результатів</t>
  </si>
  <si>
    <t>Таблиця IІ. Розрахунки з бюджетом</t>
  </si>
  <si>
    <t>Таблиця ІІІ. Рух грошових коштів</t>
  </si>
  <si>
    <t xml:space="preserve">Таблиця IV. Капітальні інвестиції </t>
  </si>
  <si>
    <t>Таблиця V. Коефіцієнтний аналіз</t>
  </si>
  <si>
    <t xml:space="preserve">      1. Дані про підприємство, персонал та фонд оплати праці</t>
  </si>
  <si>
    <t>ПРО ВИКОНАННЯ ФІНАНСОВОГО ПЛАНУ ПІДПРИЄМСТВА</t>
  </si>
  <si>
    <r>
      <t xml:space="preserve">Орган державного управління  </t>
    </r>
    <r>
      <rPr>
        <b/>
        <i/>
        <sz val="18"/>
        <rFont val="Times New Roman"/>
        <family val="1"/>
        <charset val="204"/>
      </rPr>
      <t xml:space="preserve"> </t>
    </r>
  </si>
  <si>
    <t>відхи-
лення,  +/–</t>
  </si>
  <si>
    <t>Минулий рік (анало-
гічний період)</t>
  </si>
  <si>
    <t>Усього доходів (рядок 1000 + рядок 1030 + рядок 1110 + рядок 1120 + рядок 1150)</t>
  </si>
  <si>
    <t>Усього витрат (рядок 1010 + рядок 1040 + рядок 1070 + рядок 1080 + рядок 1130 + рядок 1140 + рядок 1160 + рядок 1180 + рядок 1190)</t>
  </si>
  <si>
    <t xml:space="preserve">                                                 (посада)</t>
  </si>
  <si>
    <t xml:space="preserve">                                                (посада)</t>
  </si>
  <si>
    <t xml:space="preserve">                                               (посада)</t>
  </si>
  <si>
    <t xml:space="preserve">                                        (посада)</t>
  </si>
  <si>
    <t xml:space="preserve">                                                        (посада)</t>
  </si>
  <si>
    <t>канцелярські товари</t>
  </si>
  <si>
    <t>1062/1</t>
  </si>
  <si>
    <t>господарські товари</t>
  </si>
  <si>
    <t>1062/2</t>
  </si>
  <si>
    <t>1062/3</t>
  </si>
  <si>
    <t>1062/4</t>
  </si>
  <si>
    <t>1062/5</t>
  </si>
  <si>
    <t>1062/6</t>
  </si>
  <si>
    <t>1062/7</t>
  </si>
  <si>
    <t>Посада</t>
  </si>
  <si>
    <t>Директор</t>
  </si>
  <si>
    <t>Заступник директора</t>
  </si>
  <si>
    <t xml:space="preserve">Начальник загального відділу </t>
  </si>
  <si>
    <t xml:space="preserve">Заступник начальника загального відділу </t>
  </si>
  <si>
    <t>Помічник директора</t>
  </si>
  <si>
    <t>Юрисконсульт</t>
  </si>
  <si>
    <t>Інженер з охорони праці</t>
  </si>
  <si>
    <t>Інженер з рекреаційного благоустрою</t>
  </si>
  <si>
    <t>Фахівець садово-паркового господарства</t>
  </si>
  <si>
    <t>Діловод</t>
  </si>
  <si>
    <t>Начальник відділу технічного нагляду</t>
  </si>
  <si>
    <t>Заступник начальника відділу технічного нагляду</t>
  </si>
  <si>
    <t>Головний інженер</t>
  </si>
  <si>
    <t>Інженер з технічного нагляду</t>
  </si>
  <si>
    <t>Інженер з проектно-кошторисної роботи</t>
  </si>
  <si>
    <t>Інженер з пожежної безпеки</t>
  </si>
  <si>
    <t>Провідний фахівець</t>
  </si>
  <si>
    <t>Фахівець</t>
  </si>
  <si>
    <t>Завідувач господарством</t>
  </si>
  <si>
    <t>Робітник з комплексного обслуговування</t>
  </si>
  <si>
    <t>Прибиральник службових приміщень</t>
  </si>
  <si>
    <t>Начальник відділу бухгалтерського обліку та фінансового контролю - головний бухгалтер</t>
  </si>
  <si>
    <t>Заступник начальника відділу бухгалтерського обліку та фінансового контролю - заступник головного бухгалтера</t>
  </si>
  <si>
    <t>Фахівець з державних закупівель</t>
  </si>
  <si>
    <t>Інспектор з кадрів</t>
  </si>
  <si>
    <t>Провідний бухгалтер</t>
  </si>
  <si>
    <r>
      <t>Затверджено</t>
    </r>
    <r>
      <rPr>
        <sz val="14"/>
        <rFont val="Times New Roman Cyr"/>
        <family val="1"/>
        <charset val="204"/>
      </rPr>
      <t xml:space="preserve">: </t>
    </r>
  </si>
  <si>
    <t>Штат у кількості 36 штатних одиниць</t>
  </si>
  <si>
    <t xml:space="preserve">з місячним фондом заробітної плати </t>
  </si>
  <si>
    <t>за посадовими окладами: 157903,00 грн.</t>
  </si>
  <si>
    <r>
      <t>(сто п</t>
    </r>
    <r>
      <rPr>
        <sz val="12"/>
        <rFont val="Calibri"/>
        <family val="2"/>
        <charset val="204"/>
      </rPr>
      <t>'</t>
    </r>
    <r>
      <rPr>
        <sz val="12"/>
        <rFont val="Times New Roman Cyr"/>
        <charset val="204"/>
      </rPr>
      <t>ятдесят сім триста п</t>
    </r>
    <r>
      <rPr>
        <sz val="12"/>
        <rFont val="Calibri"/>
        <family val="2"/>
        <charset val="204"/>
      </rPr>
      <t>'</t>
    </r>
    <r>
      <rPr>
        <sz val="12"/>
        <rFont val="Times New Roman Cyr"/>
        <charset val="204"/>
      </rPr>
      <t>ятдесят дев</t>
    </r>
    <r>
      <rPr>
        <sz val="12"/>
        <rFont val="Calibri"/>
        <family val="2"/>
        <charset val="204"/>
      </rPr>
      <t>'</t>
    </r>
    <r>
      <rPr>
        <sz val="12"/>
        <rFont val="Times New Roman Cyr"/>
        <charset val="204"/>
      </rPr>
      <t xml:space="preserve">ять </t>
    </r>
  </si>
  <si>
    <t>гривень 00 копійок)</t>
  </si>
  <si>
    <t xml:space="preserve">Заступник міського голови, директор </t>
  </si>
  <si>
    <t xml:space="preserve">департаменту благоустрію та інфраструктури </t>
  </si>
  <si>
    <t>Дніпропетровської міської ради</t>
  </si>
  <si>
    <t>_____________________   М.О.ЛИСЕНКО</t>
  </si>
  <si>
    <t xml:space="preserve">    ________________________________</t>
  </si>
  <si>
    <t>(число.місяць.рік)</t>
  </si>
  <si>
    <t xml:space="preserve"> ШТАТНИЙ РОЗПИС</t>
  </si>
  <si>
    <t>комунального підприємства "Міська інфраструктура"</t>
  </si>
  <si>
    <t>з 07 вересня  2016 року</t>
  </si>
  <si>
    <t>Код професії</t>
  </si>
  <si>
    <r>
      <t>Кількість</t>
    </r>
    <r>
      <rPr>
        <sz val="11"/>
        <rFont val="Times New Roman Cyr"/>
        <family val="1"/>
        <charset val="204"/>
      </rPr>
      <t xml:space="preserve"> штатних одиниць</t>
    </r>
  </si>
  <si>
    <t>Розрахунок фонду</t>
  </si>
  <si>
    <t>ФОП на місяць, грн.</t>
  </si>
  <si>
    <t>Тарифний розряд</t>
  </si>
  <si>
    <t>Посадовий оклад, грн.</t>
  </si>
  <si>
    <t>1210.1</t>
  </si>
  <si>
    <t>Заступник директора з питань будівництва, капітальних ремонтів і реконструкції</t>
  </si>
  <si>
    <t>Заступник директора з благоустрію</t>
  </si>
  <si>
    <t>Заступник директора з розвитку спортивної інфраструктури</t>
  </si>
  <si>
    <t>Загальний відділ</t>
  </si>
  <si>
    <t>1229.1</t>
  </si>
  <si>
    <t>3436.1</t>
  </si>
  <si>
    <t>2149.2</t>
  </si>
  <si>
    <r>
      <t>Інженер з програмного забезпечення комп</t>
    </r>
    <r>
      <rPr>
        <sz val="14"/>
        <rFont val="Calibri"/>
        <family val="2"/>
        <charset val="204"/>
      </rPr>
      <t>'</t>
    </r>
    <r>
      <rPr>
        <sz val="14"/>
        <rFont val="Times New Roman"/>
        <family val="1"/>
        <charset val="204"/>
      </rPr>
      <t>ютерів</t>
    </r>
  </si>
  <si>
    <t>2131.2</t>
  </si>
  <si>
    <t>2213.2</t>
  </si>
  <si>
    <t>Відділ технічного нагляду</t>
  </si>
  <si>
    <t>1223.1</t>
  </si>
  <si>
    <t>2142.2</t>
  </si>
  <si>
    <t>Відділ бухгалтерського обліку та фінансового контролю</t>
  </si>
  <si>
    <t>2419.2</t>
  </si>
  <si>
    <t>ВСЬОГО:</t>
  </si>
  <si>
    <t>Директора</t>
  </si>
  <si>
    <t>КП "Міська інфраструктура" ДМР</t>
  </si>
  <si>
    <t>______________Н.В. БАСОВА</t>
  </si>
  <si>
    <t>інші джерела (бюджетне фінансування)</t>
  </si>
  <si>
    <t>військовий збір</t>
  </si>
  <si>
    <t>2147/1</t>
  </si>
  <si>
    <t>відсотки нараховані банком по рахунку</t>
  </si>
  <si>
    <t>3270/1</t>
  </si>
  <si>
    <t>3270/2</t>
  </si>
  <si>
    <t>3270/3</t>
  </si>
  <si>
    <t>внески органів місцевого самоврядування до статутного капіталу</t>
  </si>
  <si>
    <t>3480/1</t>
  </si>
  <si>
    <t>комунальне підприємство</t>
  </si>
  <si>
    <t>Дніпропетровська область, місто Дніпро, Шевченківський район</t>
  </si>
  <si>
    <t>комплексне обслуговування об'єктів</t>
  </si>
  <si>
    <t>81.10</t>
  </si>
  <si>
    <t>49000, м.Дніпро, просп.Дмитра Яворницького, буд.75</t>
  </si>
  <si>
    <t>3270/4</t>
  </si>
  <si>
    <t>3270/5</t>
  </si>
  <si>
    <t>3270/6</t>
  </si>
  <si>
    <t>3270/7</t>
  </si>
  <si>
    <t>3270/8</t>
  </si>
  <si>
    <t>3270/9</t>
  </si>
  <si>
    <t>3270/10</t>
  </si>
  <si>
    <t>3270/12</t>
  </si>
  <si>
    <t>1054/1</t>
  </si>
  <si>
    <t>1054/2</t>
  </si>
  <si>
    <t>1062/8</t>
  </si>
  <si>
    <t>Розроблення проектно-кошторисної документації: "Водопостачання парку ім. Володі Дубініна для поливу території"</t>
  </si>
  <si>
    <t>КОМУНАЛЬНЕ ПІДПРИЄМСТВО "МІСЬКА ІНФРАСТРУКТУРА" ДНІПРОВСЬКОЇ МІСЬКОЇ РАДИ</t>
  </si>
  <si>
    <t>Послуги з тимчасового використання території парку не за цільовим призначенням</t>
  </si>
  <si>
    <t>1000/1</t>
  </si>
  <si>
    <t>послуги охорони території парків</t>
  </si>
  <si>
    <t>техніне обслуговування оргтехніки, заправка картриджів</t>
  </si>
  <si>
    <t>комунальні послуги та енергоносії</t>
  </si>
  <si>
    <t>1062/9</t>
  </si>
  <si>
    <t>1062/10</t>
  </si>
  <si>
    <t xml:space="preserve">амортизація основних засобів і нематеріальних активів </t>
  </si>
  <si>
    <t>1080/1</t>
  </si>
  <si>
    <t>1080/2</t>
  </si>
  <si>
    <t>1080/5</t>
  </si>
  <si>
    <t>1080/6</t>
  </si>
  <si>
    <t>1080/8</t>
  </si>
  <si>
    <t>1080/9</t>
  </si>
  <si>
    <t>1080/11</t>
  </si>
  <si>
    <t>1080/13</t>
  </si>
  <si>
    <t>1080/14</t>
  </si>
  <si>
    <t>1080/15</t>
  </si>
  <si>
    <t>1080/16</t>
  </si>
  <si>
    <t>1080/17</t>
  </si>
  <si>
    <t>1080/18</t>
  </si>
  <si>
    <t>періодичні видання</t>
  </si>
  <si>
    <t>1150/1</t>
  </si>
  <si>
    <t>1060/1</t>
  </si>
  <si>
    <t>3030/1</t>
  </si>
  <si>
    <t>запаси</t>
  </si>
  <si>
    <t>витрати майбутніх періодів</t>
  </si>
  <si>
    <t>дебіторська заборгованість</t>
  </si>
  <si>
    <t>3050/1</t>
  </si>
  <si>
    <t>3050/2</t>
  </si>
  <si>
    <t>3050/3</t>
  </si>
  <si>
    <t>поточна кредиторська заборгованість</t>
  </si>
  <si>
    <t>3060/1</t>
  </si>
  <si>
    <t>Комунальне підприємство "Міська інфраструктура" Дніпровської міської ради</t>
  </si>
  <si>
    <t>Х</t>
  </si>
  <si>
    <t>комунальна</t>
  </si>
  <si>
    <t>(056) 767-03-36</t>
  </si>
  <si>
    <t>Капітальний ремонт центральної алеї парку Зелений Гай у м. Дніпрі</t>
  </si>
  <si>
    <t>Капітальний ремонт скверу "Амурський парк" у місті Дніпрі</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</si>
  <si>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"Капітальний ремонт скверу "Амурський парк" у місті Дніпрі" від 22.12.2017 № 5392/е/17</t>
  </si>
  <si>
    <t>5% кінцевих розрахунків після виконання і приймання всіх передбачених договором (контрактом) робіт та реєстрації декларації про готовність об'єкта до експлуатації або видачі сертифіката  (постанова КМУ від 27.12.2001 № 1764)</t>
  </si>
  <si>
    <t>3290/1</t>
  </si>
  <si>
    <t>3470/1</t>
  </si>
  <si>
    <t>1000/2</t>
  </si>
  <si>
    <t>3060/2</t>
  </si>
  <si>
    <t>1080/19</t>
  </si>
  <si>
    <t>1080/20</t>
  </si>
  <si>
    <t>Реконструкція парку ім. Володі Дубініна у м. Дніпрі</t>
  </si>
  <si>
    <t>Реконструкція стадіону "Авангард" по вул. Євгена Маланюка, 1 у м. Дніпрі</t>
  </si>
  <si>
    <t>Реконструкція парку імені Володі Дубініна у м. Дніпрі</t>
  </si>
  <si>
    <t>банківські послуги</t>
  </si>
  <si>
    <t>витратні матеріали для садово-паркової техніки (в т.ч. ПММ для садово-паркової техніки)</t>
  </si>
  <si>
    <t>послуги з проведення культурно-масових заходів</t>
  </si>
  <si>
    <t>монтаж та демонтаж новорічних ялинок та прикрас</t>
  </si>
  <si>
    <t>інші загальногосподарські організаційно-технічні послуги (медичні послуги, питна вода та ін.)</t>
  </si>
  <si>
    <t>адміністративний збір та інші обов'язкові платежі</t>
  </si>
  <si>
    <t>інформаційно-технологічний  супровід ПЗ: 1С:Підприємство,  "MeDoc", ЕЦП,  "Інтерактивна бухгалтерія", "Єдина інформаційна система управління місцевим бюджетом",  "Електронний документообіг", "Електронне самоврядування", розміщення інформації в мережі Інтернет</t>
  </si>
  <si>
    <t>3030/2</t>
  </si>
  <si>
    <t>рекламні послуги (вигот.відеофільму, демонстр.інформації в мережі  Інтернет, послуги фотографіф)</t>
  </si>
  <si>
    <t>витрати на господарчі товари  для обслуговування парків (в т.ч. спецодяг)</t>
  </si>
  <si>
    <t>1080/12</t>
  </si>
  <si>
    <t>оприбуткування різниці (лишків) ТМЦ</t>
  </si>
  <si>
    <t>Модульні споруди</t>
  </si>
  <si>
    <t>Реконструкція парку імені Володі Дубініна</t>
  </si>
  <si>
    <t>Капітальний ремонт пішохідних  алей з оглядовим майданчиком, що примикають до центральної алеї Парку Зелений Гай у м. Дніпрі</t>
  </si>
  <si>
    <t>модульні споруди</t>
  </si>
  <si>
    <t>Рішення виконавчого комітету Дніпровської міської ради від 03.08.2017 № 570 "Про затвердження кошторисної частини проектної документації робочого проекту по об'єкту "Реконструкція парку ім. Володі Дубініна у м. Дніпрі"</t>
  </si>
  <si>
    <t>Рішення виконавчого комітету Дніпровської міської ради від 22.01.2019 № 100 "Про внесення змін до рішення виконкому міської ради від 05.12.2017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елементів благоустрою частини парка ім. Писаржевського у м. Дніпрі"</t>
  </si>
  <si>
    <t>Рішення виконавчого комітету Дніпровської міської ради від 23.01.2018 № 18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центральної алеї парку Зелений Гай у м. Дніпрі"</t>
  </si>
  <si>
    <t>Рішення виконавчого комітету Дніпровської міської ради від 11.04.2018 № 272 "Про надання дозволу  КП "Міська інфраструктура" ДМР на виконання проектно-вишукувальних робіт, капітальний ремонту та функцій замовника по об'єкту "Капітальний ремонт пішохідних алей з оглядовим майданчиком, що примикають до центральної алеї Парку Зелений Гай у м. Дніпрі"</t>
  </si>
  <si>
    <t>Рішення виконавчого комітету Дніпровської міської ради від 27.09.2016 № 398 "Про надання дозволу  КП "Міська інфраструктура" на виконання проектно-вишукувальних робіт, реконструкції та функцій замовника по об'єкту "Реконструкція стадіону "Авангард по вул. Євгена Маланюка, 1у м. Дніпрі"</t>
  </si>
  <si>
    <t>Рішення виконавчого комітету Дніпровської міської ради від 27.09.2016 № 398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«Амурський парк» у  м. Дніпрі»</t>
  </si>
  <si>
    <t>дохід від безоплатно отриманих ОЗ (в т.ч. у розмірі амортизації)</t>
  </si>
  <si>
    <t>оплата послуг зв'язку, Інтернет, в т.ч. монтаж та налогодження</t>
  </si>
  <si>
    <t>кабелі та супутні товари</t>
  </si>
  <si>
    <t>послуги з експлуатації спецтехніки</t>
  </si>
  <si>
    <t>Послуги розважальні</t>
  </si>
  <si>
    <t>послуги з оцінки майна</t>
  </si>
  <si>
    <t>1080/3</t>
  </si>
  <si>
    <t>1080/4</t>
  </si>
  <si>
    <t>1080/7</t>
  </si>
  <si>
    <t>1080/10</t>
  </si>
  <si>
    <t>Податок на додану вартість нарахований/до відшкодування (з мінусом)</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</si>
  <si>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"Реконструкція стадіону "Авангард" по вул. Євгена Маланюка, 1 у м. Дніпрі" від 26.04.2018 № 5234/е/17. Розпорядження голови Дніпропетровської обласної державної адміністрації від 18.07.2018 № Р-463/0/3-18 "Про затвердження проекту Реконструкція стадіону "Авангард" по вул. Євгена Маланюка, 1 у м. Дніпрі"</t>
  </si>
  <si>
    <t>Капітальний ремонт Парку ім. Писаржевського у м. Дніпрі</t>
  </si>
  <si>
    <t>Рішення виконавчого комітету Дніпровської міської ради від 23.10.2018 № 1010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Івана Старова у м. Дніпрі"</t>
  </si>
  <si>
    <t>послуги з вивезення сміттєзвалищ</t>
  </si>
  <si>
    <t>прибирання листви</t>
  </si>
  <si>
    <t>послуги з благоустрою (вивіз сміття, обслуговування біотуалетів, прибирання пварків тощо)</t>
  </si>
  <si>
    <t>інші загальногосподарські організаційно-технічні послуги</t>
  </si>
  <si>
    <t>1150/2</t>
  </si>
  <si>
    <t>1150/3</t>
  </si>
  <si>
    <t xml:space="preserve">поточний ремонт парків </t>
  </si>
  <si>
    <t>Декоративні вироби</t>
  </si>
  <si>
    <t>3570/1</t>
  </si>
  <si>
    <t>списані багаторічні насадження за рахунок зменшення додаткового капіталу відповідно до актів обстеження зелених насаджень, що підлягають видаленню</t>
  </si>
  <si>
    <t>Капітальний ремонт скверу Івана Старова</t>
  </si>
  <si>
    <t xml:space="preserve">Експертний звіт Дніпровської філії інституту "НДІПРОЕКТРЕКОНСТРУКЦІЯ" щодо розгляду проектної документації за проектом "Реконструкція парку ім. Володі Дубініна у м. Дніпрі" від 11.11.2019 № 2362/е/19 </t>
  </si>
  <si>
    <t>3270/11</t>
  </si>
  <si>
    <t>стежка дерев'яна "Трап"</t>
  </si>
  <si>
    <t>частини для садово-паркової техніки та поточний ремонт</t>
  </si>
  <si>
    <t>Інформаційні стенди та вказівники (в т.ч. банера)</t>
  </si>
  <si>
    <t>Модульні туалети</t>
  </si>
  <si>
    <t>Капітальний ремонт парку ім. Писаржевського у м. Дніпрі</t>
  </si>
  <si>
    <t>декоративні вироби</t>
  </si>
  <si>
    <t>світлодіодні прикраси</t>
  </si>
  <si>
    <t>Світлодіодні прикраси</t>
  </si>
  <si>
    <t>коригування на суму зносу</t>
  </si>
  <si>
    <t>послуги з видалення сухостійних, аварійних та фаутних дерев</t>
  </si>
  <si>
    <t>1080/21</t>
  </si>
  <si>
    <t>1054/3</t>
  </si>
  <si>
    <t>1080/22</t>
  </si>
  <si>
    <t>Дерев'яні вироби</t>
  </si>
  <si>
    <t>Багаторічні насадження</t>
  </si>
  <si>
    <t>Комп'ютерна техніка та супутні товари</t>
  </si>
  <si>
    <t>3270/13</t>
  </si>
  <si>
    <t>3270/14</t>
  </si>
  <si>
    <t>3270/15</t>
  </si>
  <si>
    <t>садженці багаторічних насаджень</t>
  </si>
  <si>
    <t>багаторічні насадження</t>
  </si>
  <si>
    <t>Урни, лавки, вазони, садові меблі, альтанки</t>
  </si>
  <si>
    <t>Система поливу</t>
  </si>
  <si>
    <t>Система туманоутворення</t>
  </si>
  <si>
    <t>Витрати на оплату праці, тис. гривень, у тому числі:</t>
  </si>
  <si>
    <t>Послуги з користування громадськими вбиральнями</t>
  </si>
  <si>
    <t>1000/3</t>
  </si>
  <si>
    <t xml:space="preserve">будівельні матеріали (у т.ч. посипний матеріал) </t>
  </si>
  <si>
    <t>витрати на декорування елементів благоустрою, облаштування дитячих та спортивних майданчиків тощо</t>
  </si>
  <si>
    <t>відшкодування збитків(в т.ч.комунальних платежів)</t>
  </si>
  <si>
    <t>1080/23</t>
  </si>
  <si>
    <t>1080/24</t>
  </si>
  <si>
    <t>1080/25</t>
  </si>
  <si>
    <t>дохід від  безоплатно отриманих ОЗ</t>
  </si>
  <si>
    <t>3570/2</t>
  </si>
  <si>
    <t>2020-2021</t>
  </si>
  <si>
    <t>витрати на облаштування квітників та газонів (у т.ч. садженці рослин)</t>
  </si>
  <si>
    <t>поточний ремонт обладнання, світлодіодних прикрас</t>
  </si>
  <si>
    <t>Обладнення для дитячо-спортвних майданчиків</t>
  </si>
  <si>
    <t>Прожектори, ліхтарі та прилади освітлення</t>
  </si>
  <si>
    <t>Капітальний ремонт скверу Івана Старова у м. Дніпрі</t>
  </si>
  <si>
    <t>Господарчій інвентар та супутні вироби</t>
  </si>
  <si>
    <t>3030/3</t>
  </si>
  <si>
    <t>3260/1</t>
  </si>
  <si>
    <t>Таблиця VI. Інформація до звіту про виконання фінансового плану за 2021 рік</t>
  </si>
  <si>
    <t>Тесля О.В.</t>
  </si>
  <si>
    <t>О.В.Тесля</t>
  </si>
  <si>
    <t>О.В. Тесля</t>
  </si>
  <si>
    <t>розробка проекту землеустрою, концепції</t>
  </si>
  <si>
    <t xml:space="preserve">витрати, пов'язані з SARS-CoV-2 (COVID-19) </t>
  </si>
  <si>
    <t>1062/11</t>
  </si>
  <si>
    <t>обслуговування садово-паркової техніки та перевірка обладнання</t>
  </si>
  <si>
    <t>1080/26</t>
  </si>
  <si>
    <t>списання ОЗ</t>
  </si>
  <si>
    <t>фінансування  за КПКВМБ 3516030, 1016030</t>
  </si>
  <si>
    <t>Влаштування електропостачання північно-західної частини Парку Зелений Гай</t>
  </si>
  <si>
    <t>Підключення водопроводу для благоустрою і поливу зелених насаджень східної частини Парку Зелений Гай (зі сторони навчальних закладів 75 та 22)</t>
  </si>
  <si>
    <t>Капітальний ремонт зеленої зони за адресою: проспект Дмитра Яворницького, 20 у м. Дніпрі</t>
  </si>
  <si>
    <t>Підключення водопроводу для благоустрою і поливу зелених насаджень західної частини Парку Зелений Гай (в районі пров. Ялицевого)</t>
  </si>
  <si>
    <t>Підключення громадських вбиралень до інженерних мереж Парку Зелений Гай у м. Дніпрі</t>
  </si>
  <si>
    <t>Реконструкція в’їзної частини з прилеглою територією від вул. Павла Чубинського з перевлаштуванням необхідних інженерних споруд Парку Зелений Гай у м. Дніпрі</t>
  </si>
  <si>
    <t>Реконструкція північно-західного схилу з влаштуванням паркінгу та котеджів Парку Зелений Гай у м. Дніпрі</t>
  </si>
  <si>
    <t>Реконструкція центрально-східної частини Парку Зелений Гай у м. Дніпрі</t>
  </si>
  <si>
    <t>3280/1</t>
  </si>
  <si>
    <t>3280/2</t>
  </si>
  <si>
    <t>3280/3</t>
  </si>
  <si>
    <t>3280/4</t>
  </si>
  <si>
    <t>3280/5</t>
  </si>
  <si>
    <t>3280/6</t>
  </si>
  <si>
    <t>3280/7</t>
  </si>
  <si>
    <t>3280/8</t>
  </si>
  <si>
    <t>3280/9</t>
  </si>
  <si>
    <t>3280/10</t>
  </si>
  <si>
    <t>3280/11</t>
  </si>
  <si>
    <t>3280/12</t>
  </si>
  <si>
    <t>3280/13</t>
  </si>
  <si>
    <t>Кондиціонери (4 шт)</t>
  </si>
  <si>
    <t>фінансування по КПКВМБ 1017324</t>
  </si>
  <si>
    <t>3333 відвідув</t>
  </si>
  <si>
    <t>273 відвідув</t>
  </si>
  <si>
    <r>
      <t>840 м</t>
    </r>
    <r>
      <rPr>
        <sz val="14"/>
        <rFont val="Calibri"/>
        <family val="2"/>
        <charset val="204"/>
      </rPr>
      <t>²</t>
    </r>
  </si>
  <si>
    <t xml:space="preserve">Влаштування електропостачання північно-західної частини Парку Зелений Гай </t>
  </si>
  <si>
    <t>санітарний вузол</t>
  </si>
  <si>
    <t>2016-2022</t>
  </si>
  <si>
    <t>2019-2022</t>
  </si>
  <si>
    <t>2021-2022</t>
  </si>
  <si>
    <t>Рішення виконавчого комітету Дніпровської міської ради від 23.03.2020 № 213 "Про надання дозволу КП "Міська інфраструктура" ДМР на виконання проєктно-вишукувальних робіт, капітального ремонту та функцій замовника по об"єкту "Капітальний ремонт зеленої зони за адресою: проспект Дмитра Яворницького, 20 у м. Дніпрі"</t>
  </si>
  <si>
    <t>2017-2022</t>
  </si>
  <si>
    <t>Рішення виконавчого комітету Дніпровської міської ради від 20.10.2020 № 1026 "Про надання дозволу КП "Міська інфраструктура" ДМР на виконання проєктно-вишукувальних робіт, будівництва та функцій замовника по об"єкту "Підключення водопроводу для благоустрою і поливу зелених насаджень західної частини Парку Зелений Гай (в районі пров. Ялицевого)""</t>
  </si>
  <si>
    <t>Рішення виконавчого комітету Дніпровської міської ради від 23.03.2021 № 213 "Про надання дозволу КП "Міська інфраструктура" ДМР на виконання проєктно-вишукувальних робіт, капітального ремонту та функцій замовника по об"єкту "Капітальний ремонт зеленої зони за адресою: проспект Дмитра Яворницького, 20 у м. Дніпрі"</t>
  </si>
  <si>
    <t>Водопровід для благоустрою і поливу зелених насаджень Парку Зелений Гай</t>
  </si>
  <si>
    <t>Експертний звіт ДП "Жилком" щодо розгляду кошторисної частини проектної документації по робочому проекту "Капітальний ремонт центральної алеї парку Зелений Гай у м. Дніпрі". Коригування. від 18.06.2020 № 224-Е-20/А</t>
  </si>
  <si>
    <t>Рік 2021</t>
  </si>
  <si>
    <t>за 9 місяців 2021 року</t>
  </si>
  <si>
    <t>3280/14</t>
  </si>
  <si>
    <t>Водопостачання парку ім. Володі Дубінінадля поливу території</t>
  </si>
  <si>
    <t xml:space="preserve">       Загальна інформація про підприємство (резюме):                                                                                                                                                                                                                                                                                                                                                                 КП  «Міська інфраструктура» ДМР було створено відповідно до рішення Дніпропетровської міської ради від 18.05.2016 № 20/8 на базі відокремленої  частини комунальної власності територіальної громади міста Дніпра. Власником КП «Міська інфраструктура» ДМР є територіальна громада міста Дніпра, в особі Дніпровської міської ради. Метою створення комунального підприємства є господарська діяльність для досягнення економічних і соціальних результатів та з метою отримання прибутку. Основним напрямом діяльності є забезпечення розвитку відповідно до сучасних вимог інфраструктури міста, забезпечення збалансованого результату, ефективного використання природних, трудових і фінансових ресурсів, організації культурного дозвілля мешканців нашого міста, а також розвиток та надання можливостей для занять фізичною культурою і спортом. Головними принципами є якісне та своєчасне виконання своїх обов’язків. На цей час КП "Міська інфраструктура" ДМР прийнято на баланс парк ім. Володі Дубініна, імені Писаржевського, парк Зелений Гай, стадіон "Авангард", сквер "Амурський парк", сквер Святих Кирила та Мефодія, сквер Івана Старова, територія загального користування (зеленої зони) в районі просп. Дмитра Яворницького, 20, алея від вул. Академіка Янгеля до вул. Новокримської, територія по вул. Дмитра Яворницького від пл. Соборної до пл. Шевченка, ведуться роботи з благоустрою та облаштуванню цих об’єктів. Кількість планових штатних одиниць на підприємстві в еквіваленті повної зайнятості 146. </t>
  </si>
  <si>
    <t>тимчасове використання території парків та сверів не за цільовим призначенням</t>
  </si>
  <si>
    <t>покос трави, вирубка порослі, викорчовка пнів, санітарне обрізання зелених насаджень, комплексне утримання території тощо</t>
  </si>
  <si>
    <t>доходи майбутніх періодів</t>
  </si>
  <si>
    <t>3060/3</t>
  </si>
  <si>
    <t>3400/1</t>
  </si>
  <si>
    <t>3400/2</t>
  </si>
  <si>
    <t>3400/3</t>
  </si>
  <si>
    <t>Рішення Дніпровської міської ради від 21.04.2021 № 65/6 "Про надання дозволу департаменту благоустрою та інфраструктури Дніпровської міської ради на пере-дачу на баланс КП «Міська інфра-структура» ДМР витрат по об’єкту «Капітальний ремонт алеї від пам’ятника Академіку Янгелю до вул. Новокримської в м. Дніпрі"</t>
  </si>
  <si>
    <t>Рішення Дніпровської міської ради від 25.03.2020 № 41/55 зі змінами від24.03.2021 № 57/5</t>
  </si>
  <si>
    <t>Рішення Дніпровської міської ради від 23.06.2021 № 45/8 «Про визначення КП «Міська інфраструктура» ДМР балансоутримувачем об’єктів благоустрою»</t>
  </si>
  <si>
    <t>Рішення Дніпровської міської ради від 26.05.2021 № 36/7 «Про надання дозволу на передачу з балансу КП "УРЕА" на баланс КП «Міська інфраструктура» ДМР малих архітектурних форм</t>
  </si>
  <si>
    <t>3400/4</t>
  </si>
  <si>
    <t>Санітарний вузол</t>
  </si>
  <si>
    <t xml:space="preserve">Експертний звіт (позитивний) Дніпровської філії інституту "НДІПРОЕКТРЕКОНСТРУКЦІЯ" щодо розгляду проектної документації на будівництво за робочим проектом "Капітальний ремонт Парку ім. Писаржевського у м. Дніпрі". Коригування від 28.07.2021 № 828/е/21 </t>
  </si>
  <si>
    <t>7668 відвідув</t>
  </si>
  <si>
    <t>817 відвідув</t>
  </si>
  <si>
    <t>+544 відвідув</t>
  </si>
  <si>
    <t>+4335 відвідув</t>
  </si>
  <si>
    <r>
      <t>-840 м</t>
    </r>
    <r>
      <rPr>
        <sz val="14"/>
        <rFont val="Calibri"/>
        <family val="2"/>
        <charset val="204"/>
      </rPr>
      <t>²</t>
    </r>
  </si>
</sst>
</file>

<file path=xl/styles.xml><?xml version="1.0" encoding="utf-8"?>
<styleSheet xmlns="http://schemas.openxmlformats.org/spreadsheetml/2006/main">
  <numFmts count="18">
    <numFmt numFmtId="6" formatCode="#,##0&quot;р.&quot;;[Red]\-#,##0&quot;р.&quot;"/>
    <numFmt numFmtId="7" formatCode="#,##0.00&quot;р.&quot;;\-#,##0.00&quot;р.&quot;"/>
    <numFmt numFmtId="43" formatCode="_-* #,##0.00_р_._-;\-* #,##0.00_р_._-;_-* &quot;-&quot;??_р_._-;_-@_-"/>
    <numFmt numFmtId="164" formatCode="_-* #,##0.00_₴_-;\-* #,##0.00_₴_-;_-* &quot;-&quot;??_₴_-;_-@_-"/>
    <numFmt numFmtId="165" formatCode="_-* #,##0.00\ _г_р_н_._-;\-* #,##0.00\ _г_р_н_._-;_-* &quot;-&quot;??\ _г_р_н_._-;_-@_-"/>
    <numFmt numFmtId="166" formatCode="0.0"/>
    <numFmt numFmtId="167" formatCode="#,##0.0"/>
    <numFmt numFmtId="168" formatCode="###\ ##0.000"/>
    <numFmt numFmtId="169" formatCode="_(&quot;$&quot;* #,##0.00_);_(&quot;$&quot;* \(#,##0.00\);_(&quot;$&quot;* &quot;-&quot;??_);_(@_)"/>
    <numFmt numFmtId="170" formatCode="_(* #,##0_);_(* \(#,##0\);_(* &quot;-&quot;_);_(@_)"/>
    <numFmt numFmtId="171" formatCode="_(* #,##0.00_);_(* \(#,##0.00\);_(* &quot;-&quot;??_);_(@_)"/>
    <numFmt numFmtId="172" formatCode="#,##0.0_ ;[Red]\-#,##0.0\ "/>
    <numFmt numFmtId="173" formatCode="0.0;\(0.0\);\ ;\-"/>
    <numFmt numFmtId="174" formatCode="dd\.mm\.yyyy;@"/>
    <numFmt numFmtId="175" formatCode="0;[Red]0"/>
    <numFmt numFmtId="176" formatCode="\+#,##0;\-#,##0"/>
    <numFmt numFmtId="177" formatCode="0.000"/>
    <numFmt numFmtId="178" formatCode="#,##0.000"/>
  </numFmts>
  <fonts count="118">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sz val="8"/>
      <name val="Arial"/>
      <family val="2"/>
    </font>
    <font>
      <sz val="10"/>
      <name val="Arial"/>
      <family val="2"/>
      <charset val="204"/>
    </font>
    <font>
      <sz val="10"/>
      <name val="Arial Cyr"/>
      <family val="2"/>
      <charset val="204"/>
    </font>
    <font>
      <sz val="14"/>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6"/>
      <color indexed="10"/>
      <name val="Times New Roman"/>
      <family val="1"/>
      <charset val="204"/>
    </font>
    <font>
      <sz val="16"/>
      <name val="Times New Roman"/>
      <family val="1"/>
      <charset val="204"/>
    </font>
    <font>
      <sz val="16"/>
      <name val="Arial Cyr"/>
      <charset val="204"/>
    </font>
    <font>
      <b/>
      <i/>
      <sz val="16"/>
      <name val="Times New Roman"/>
      <family val="1"/>
      <charset val="204"/>
    </font>
    <font>
      <b/>
      <sz val="16"/>
      <name val="Times New Roman"/>
      <family val="1"/>
      <charset val="204"/>
    </font>
    <font>
      <b/>
      <sz val="20"/>
      <name val="Times New Roman"/>
      <family val="1"/>
      <charset val="204"/>
    </font>
    <font>
      <sz val="18"/>
      <name val="Times New Roman"/>
      <family val="1"/>
      <charset val="204"/>
    </font>
    <font>
      <i/>
      <sz val="16"/>
      <name val="Times New Roman"/>
      <family val="1"/>
      <charset val="204"/>
    </font>
    <font>
      <sz val="16"/>
      <color indexed="9"/>
      <name val="Times New Roman"/>
      <family val="1"/>
      <charset val="204"/>
    </font>
    <font>
      <b/>
      <sz val="18"/>
      <name val="Times New Roman"/>
      <family val="1"/>
      <charset val="204"/>
    </font>
    <font>
      <sz val="18"/>
      <name val="Arial Cyr"/>
      <charset val="204"/>
    </font>
    <font>
      <u/>
      <sz val="18"/>
      <name val="Times New Roman"/>
      <family val="1"/>
      <charset val="204"/>
    </font>
    <font>
      <b/>
      <i/>
      <sz val="18"/>
      <name val="Times New Roman"/>
      <family val="1"/>
      <charset val="204"/>
    </font>
    <font>
      <b/>
      <sz val="22"/>
      <name val="Times New Roman"/>
      <family val="1"/>
      <charset val="204"/>
    </font>
    <font>
      <sz val="20"/>
      <name val="Times New Roman"/>
      <family val="1"/>
      <charset val="204"/>
    </font>
    <font>
      <b/>
      <sz val="17"/>
      <name val="Times New Roman"/>
      <family val="1"/>
      <charset val="204"/>
    </font>
    <font>
      <sz val="17"/>
      <name val="Times New Roman"/>
      <family val="1"/>
      <charset val="204"/>
    </font>
    <font>
      <sz val="15"/>
      <name val="Times New Roman"/>
      <family val="1"/>
      <charset val="204"/>
    </font>
    <font>
      <sz val="19"/>
      <name val="Times New Roman"/>
      <family val="1"/>
      <charset val="204"/>
    </font>
    <font>
      <i/>
      <sz val="14"/>
      <color indexed="8"/>
      <name val="Times New Roman"/>
      <family val="1"/>
      <charset val="204"/>
    </font>
    <font>
      <i/>
      <sz val="14"/>
      <name val="Times New Roman"/>
      <family val="1"/>
      <charset val="204"/>
    </font>
    <font>
      <sz val="12"/>
      <name val="Times New Roman"/>
      <family val="1"/>
      <charset val="204"/>
    </font>
    <font>
      <sz val="12"/>
      <name val="Times New Roman Cyr"/>
      <charset val="204"/>
    </font>
    <font>
      <sz val="10"/>
      <name val="Times New Roman Cyr"/>
      <family val="1"/>
      <charset val="204"/>
    </font>
    <font>
      <b/>
      <sz val="14"/>
      <name val="Times New Roman Cyr"/>
      <charset val="204"/>
    </font>
    <font>
      <b/>
      <sz val="10"/>
      <name val="Times New Roman Cyr"/>
      <charset val="204"/>
    </font>
    <font>
      <sz val="14"/>
      <name val="Times New Roman Cyr"/>
      <family val="1"/>
      <charset val="204"/>
    </font>
    <font>
      <sz val="9"/>
      <name val="Times New Roman Cyr"/>
      <family val="1"/>
      <charset val="204"/>
    </font>
    <font>
      <sz val="12"/>
      <name val="Calibri"/>
      <family val="2"/>
      <charset val="204"/>
    </font>
    <font>
      <b/>
      <sz val="12"/>
      <name val="Times New Roman Cyr"/>
      <charset val="204"/>
    </font>
    <font>
      <b/>
      <sz val="10"/>
      <name val="Arial Cyr"/>
      <charset val="204"/>
    </font>
    <font>
      <sz val="11"/>
      <name val="Times New Roman Cyr"/>
      <family val="1"/>
      <charset val="204"/>
    </font>
    <font>
      <b/>
      <sz val="14"/>
      <name val="Times New Roman Cyr"/>
      <family val="1"/>
      <charset val="204"/>
    </font>
    <font>
      <sz val="12"/>
      <name val="Times New Roman Cyr"/>
      <family val="1"/>
      <charset val="204"/>
    </font>
    <font>
      <sz val="10"/>
      <name val="Times New Roman Cyr"/>
      <charset val="204"/>
    </font>
    <font>
      <sz val="12"/>
      <name val="Arial Cyr"/>
      <charset val="204"/>
    </font>
    <font>
      <sz val="14"/>
      <name val="Calibri"/>
      <family val="2"/>
      <charset val="204"/>
    </font>
    <font>
      <b/>
      <sz val="12"/>
      <name val="Arial Cyr"/>
      <charset val="204"/>
    </font>
    <font>
      <sz val="13"/>
      <name val="Times New Roman"/>
      <family val="1"/>
      <charset val="204"/>
    </font>
    <font>
      <i/>
      <sz val="17"/>
      <name val="Times New Roman"/>
      <family val="1"/>
      <charset val="204"/>
    </font>
    <font>
      <i/>
      <sz val="12"/>
      <name val="Times New Roman"/>
      <family val="1"/>
      <charset val="204"/>
    </font>
    <font>
      <b/>
      <u/>
      <sz val="18"/>
      <name val="Times New Roman"/>
      <family val="1"/>
      <charset val="204"/>
    </font>
    <font>
      <i/>
      <sz val="8"/>
      <color indexed="8"/>
      <name val="Times New Roman"/>
      <family val="1"/>
      <charset val="204"/>
    </font>
    <font>
      <i/>
      <sz val="10"/>
      <name val="Times New Roman"/>
      <family val="1"/>
      <charset val="204"/>
    </font>
    <font>
      <i/>
      <sz val="13"/>
      <name val="Times New Roman"/>
      <family val="1"/>
      <charset val="204"/>
    </font>
    <font>
      <sz val="11"/>
      <name val="Times New Roman"/>
      <family val="1"/>
      <charset val="204"/>
    </font>
    <font>
      <sz val="11"/>
      <color theme="1"/>
      <name val="Calibri"/>
      <family val="2"/>
      <charset val="204"/>
      <scheme val="minor"/>
    </font>
    <font>
      <i/>
      <sz val="13"/>
      <color indexed="8"/>
      <name val="Times New Roman"/>
      <family val="1"/>
      <charset val="204"/>
    </font>
    <font>
      <i/>
      <sz val="8"/>
      <name val="Times New Roman"/>
      <family val="1"/>
      <charset val="204"/>
    </font>
    <font>
      <sz val="17"/>
      <color theme="0"/>
      <name val="Times New Roman"/>
      <family val="1"/>
      <charset val="204"/>
    </font>
    <font>
      <b/>
      <sz val="14"/>
      <color rgb="FFFF0000"/>
      <name val="Times New Roman"/>
      <family val="1"/>
      <charset val="204"/>
    </font>
    <font>
      <sz val="16"/>
      <color theme="0"/>
      <name val="Times New Roman"/>
      <family val="1"/>
      <charset val="204"/>
    </font>
    <font>
      <sz val="8"/>
      <name val="Times New Roman"/>
      <family val="1"/>
      <charset val="204"/>
    </font>
    <font>
      <b/>
      <sz val="14"/>
      <color theme="0"/>
      <name val="Times New Roman"/>
      <family val="1"/>
      <charset val="204"/>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9" tint="0.39997558519241921"/>
        <bgColor indexed="64"/>
      </patternFill>
    </fill>
    <fill>
      <patternFill patternType="solid">
        <fgColor rgb="FFFF0000"/>
        <bgColor indexed="64"/>
      </patternFill>
    </fill>
    <fill>
      <patternFill patternType="solid">
        <fgColor rgb="FF7030A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4">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7" fillId="2" borderId="0" applyNumberFormat="0" applyBorder="0" applyAlignment="0" applyProtection="0"/>
    <xf numFmtId="0" fontId="1" fillId="2" borderId="0" applyNumberFormat="0" applyBorder="0" applyAlignment="0" applyProtection="0"/>
    <xf numFmtId="0" fontId="27" fillId="3" borderId="0" applyNumberFormat="0" applyBorder="0" applyAlignment="0" applyProtection="0"/>
    <xf numFmtId="0" fontId="1" fillId="3" borderId="0" applyNumberFormat="0" applyBorder="0" applyAlignment="0" applyProtection="0"/>
    <xf numFmtId="0" fontId="27" fillId="4" borderId="0" applyNumberFormat="0" applyBorder="0" applyAlignment="0" applyProtection="0"/>
    <xf numFmtId="0" fontId="1" fillId="4"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6" borderId="0" applyNumberFormat="0" applyBorder="0" applyAlignment="0" applyProtection="0"/>
    <xf numFmtId="0" fontId="1" fillId="6" borderId="0" applyNumberFormat="0" applyBorder="0" applyAlignment="0" applyProtection="0"/>
    <xf numFmtId="0" fontId="27"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9" borderId="0" applyNumberFormat="0" applyBorder="0" applyAlignment="0" applyProtection="0"/>
    <xf numFmtId="0" fontId="1" fillId="9" borderId="0" applyNumberFormat="0" applyBorder="0" applyAlignment="0" applyProtection="0"/>
    <xf numFmtId="0" fontId="27" fillId="10" borderId="0" applyNumberFormat="0" applyBorder="0" applyAlignment="0" applyProtection="0"/>
    <xf numFmtId="0" fontId="1" fillId="10"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11"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28" fillId="12" borderId="0" applyNumberFormat="0" applyBorder="0" applyAlignment="0" applyProtection="0"/>
    <xf numFmtId="0" fontId="10" fillId="12" borderId="0" applyNumberFormat="0" applyBorder="0" applyAlignment="0" applyProtection="0"/>
    <xf numFmtId="0" fontId="28" fillId="9" borderId="0" applyNumberFormat="0" applyBorder="0" applyAlignment="0" applyProtection="0"/>
    <xf numFmtId="0" fontId="10" fillId="9" borderId="0" applyNumberFormat="0" applyBorder="0" applyAlignment="0" applyProtection="0"/>
    <xf numFmtId="0" fontId="28" fillId="10" borderId="0" applyNumberFormat="0" applyBorder="0" applyAlignment="0" applyProtection="0"/>
    <xf numFmtId="0" fontId="10" fillId="10"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1" fillId="3" borderId="0" applyNumberFormat="0" applyBorder="0" applyAlignment="0" applyProtection="0"/>
    <xf numFmtId="0" fontId="13" fillId="20" borderId="1" applyNumberFormat="0" applyAlignment="0" applyProtection="0"/>
    <xf numFmtId="0" fontId="18" fillId="21" borderId="2" applyNumberFormat="0" applyAlignment="0" applyProtection="0"/>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165" fontId="7" fillId="0" borderId="0" applyFont="0" applyFill="0" applyBorder="0" applyAlignment="0" applyProtection="0"/>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0" fontId="22" fillId="0" borderId="0" applyNumberFormat="0" applyFill="0" applyBorder="0" applyAlignment="0" applyProtection="0"/>
    <xf numFmtId="168" fontId="30" fillId="0" borderId="0" applyAlignment="0">
      <alignment wrapText="1"/>
    </xf>
    <xf numFmtId="0" fontId="25"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31" fillId="0" borderId="0" applyNumberFormat="0" applyFill="0" applyBorder="0" applyAlignment="0" applyProtection="0">
      <alignment vertical="top"/>
      <protection locked="0"/>
    </xf>
    <xf numFmtId="0" fontId="11" fillId="7" borderId="1"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32" fillId="22" borderId="7">
      <alignment horizontal="left" vertical="center"/>
      <protection locked="0"/>
    </xf>
    <xf numFmtId="49" fontId="32" fillId="22" borderId="7">
      <alignment horizontal="left" vertical="center"/>
    </xf>
    <xf numFmtId="4" fontId="32" fillId="22" borderId="7">
      <alignment horizontal="right" vertical="center"/>
      <protection locked="0"/>
    </xf>
    <xf numFmtId="4" fontId="32" fillId="22" borderId="7">
      <alignment horizontal="right" vertical="center"/>
    </xf>
    <xf numFmtId="4" fontId="33" fillId="22" borderId="7">
      <alignment horizontal="right" vertical="center"/>
      <protection locked="0"/>
    </xf>
    <xf numFmtId="49" fontId="34" fillId="22" borderId="3">
      <alignment horizontal="left" vertical="center"/>
      <protection locked="0"/>
    </xf>
    <xf numFmtId="49" fontId="34" fillId="22" borderId="3">
      <alignment horizontal="left" vertical="center"/>
    </xf>
    <xf numFmtId="49" fontId="35" fillId="22" borderId="3">
      <alignment horizontal="left" vertical="center"/>
      <protection locked="0"/>
    </xf>
    <xf numFmtId="49" fontId="35" fillId="22" borderId="3">
      <alignment horizontal="left" vertical="center"/>
    </xf>
    <xf numFmtId="4" fontId="34" fillId="22" borderId="3">
      <alignment horizontal="right" vertical="center"/>
      <protection locked="0"/>
    </xf>
    <xf numFmtId="4" fontId="34" fillId="22" borderId="3">
      <alignment horizontal="right" vertical="center"/>
    </xf>
    <xf numFmtId="4" fontId="36" fillId="22" borderId="3">
      <alignment horizontal="right" vertical="center"/>
      <protection locked="0"/>
    </xf>
    <xf numFmtId="49" fontId="29" fillId="22" borderId="3">
      <alignment horizontal="left" vertical="center"/>
      <protection locked="0"/>
    </xf>
    <xf numFmtId="49" fontId="29" fillId="22" borderId="3">
      <alignment horizontal="left" vertical="center"/>
      <protection locked="0"/>
    </xf>
    <xf numFmtId="49" fontId="29" fillId="22" borderId="3">
      <alignment horizontal="left" vertical="center"/>
    </xf>
    <xf numFmtId="49" fontId="29" fillId="22" borderId="3">
      <alignment horizontal="left" vertical="center"/>
    </xf>
    <xf numFmtId="49" fontId="33" fillId="22" borderId="3">
      <alignment horizontal="left" vertical="center"/>
      <protection locked="0"/>
    </xf>
    <xf numFmtId="49" fontId="33" fillId="22" borderId="3">
      <alignment horizontal="left" vertical="center"/>
    </xf>
    <xf numFmtId="4" fontId="29" fillId="22" borderId="3">
      <alignment horizontal="right" vertical="center"/>
      <protection locked="0"/>
    </xf>
    <xf numFmtId="4" fontId="29" fillId="22" borderId="3">
      <alignment horizontal="right" vertical="center"/>
      <protection locked="0"/>
    </xf>
    <xf numFmtId="4" fontId="29" fillId="22" borderId="3">
      <alignment horizontal="right" vertical="center"/>
    </xf>
    <xf numFmtId="4" fontId="29" fillId="22" borderId="3">
      <alignment horizontal="right" vertical="center"/>
    </xf>
    <xf numFmtId="4" fontId="33" fillId="22" borderId="3">
      <alignment horizontal="right" vertical="center"/>
      <protection locked="0"/>
    </xf>
    <xf numFmtId="49" fontId="37" fillId="22" borderId="3">
      <alignment horizontal="left" vertical="center"/>
      <protection locked="0"/>
    </xf>
    <xf numFmtId="49" fontId="37" fillId="22" borderId="3">
      <alignment horizontal="left" vertical="center"/>
    </xf>
    <xf numFmtId="49" fontId="38" fillId="22" borderId="3">
      <alignment horizontal="left" vertical="center"/>
      <protection locked="0"/>
    </xf>
    <xf numFmtId="49" fontId="38" fillId="22" borderId="3">
      <alignment horizontal="left" vertical="center"/>
    </xf>
    <xf numFmtId="4" fontId="37" fillId="22" borderId="3">
      <alignment horizontal="right" vertical="center"/>
      <protection locked="0"/>
    </xf>
    <xf numFmtId="4" fontId="37" fillId="22" borderId="3">
      <alignment horizontal="right" vertical="center"/>
    </xf>
    <xf numFmtId="4" fontId="39" fillId="22" borderId="3">
      <alignment horizontal="right" vertical="center"/>
      <protection locked="0"/>
    </xf>
    <xf numFmtId="49" fontId="40" fillId="0" borderId="3">
      <alignment horizontal="left" vertical="center"/>
      <protection locked="0"/>
    </xf>
    <xf numFmtId="49" fontId="40" fillId="0" borderId="3">
      <alignment horizontal="left" vertical="center"/>
    </xf>
    <xf numFmtId="49" fontId="41" fillId="0" borderId="3">
      <alignment horizontal="left" vertical="center"/>
      <protection locked="0"/>
    </xf>
    <xf numFmtId="49" fontId="41" fillId="0" borderId="3">
      <alignment horizontal="left" vertical="center"/>
    </xf>
    <xf numFmtId="4" fontId="40" fillId="0" borderId="3">
      <alignment horizontal="right" vertical="center"/>
      <protection locked="0"/>
    </xf>
    <xf numFmtId="4" fontId="40" fillId="0" borderId="3">
      <alignment horizontal="right" vertical="center"/>
    </xf>
    <xf numFmtId="4" fontId="41" fillId="0"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9" fontId="40" fillId="0" borderId="3">
      <alignment horizontal="left" vertical="center"/>
      <protection locked="0"/>
    </xf>
    <xf numFmtId="49" fontId="41" fillId="0" borderId="3">
      <alignment horizontal="left" vertical="center"/>
      <protection locked="0"/>
    </xf>
    <xf numFmtId="4" fontId="40" fillId="0" borderId="3">
      <alignment horizontal="right" vertical="center"/>
      <protection locked="0"/>
    </xf>
    <xf numFmtId="0" fontId="23" fillId="0" borderId="8" applyNumberFormat="0" applyFill="0" applyAlignment="0" applyProtection="0"/>
    <xf numFmtId="0" fontId="20" fillId="23" borderId="0" applyNumberFormat="0" applyBorder="0" applyAlignment="0" applyProtection="0"/>
    <xf numFmtId="0" fontId="7" fillId="0" borderId="0"/>
    <xf numFmtId="0" fontId="7" fillId="0" borderId="0"/>
    <xf numFmtId="0" fontId="7" fillId="24" borderId="0" applyNumberFormat="0" applyFill="0" applyAlignment="0">
      <alignment horizontal="center"/>
      <protection locked="0"/>
    </xf>
    <xf numFmtId="0" fontId="2" fillId="25" borderId="9" applyNumberFormat="0" applyFont="0" applyAlignment="0" applyProtection="0"/>
    <xf numFmtId="4" fontId="44" fillId="26" borderId="3">
      <alignment horizontal="right" vertical="center"/>
      <protection locked="0"/>
    </xf>
    <xf numFmtId="4" fontId="44" fillId="27" borderId="3">
      <alignment horizontal="right" vertical="center"/>
      <protection locked="0"/>
    </xf>
    <xf numFmtId="4" fontId="44" fillId="28" borderId="3">
      <alignment horizontal="right" vertical="center"/>
      <protection locked="0"/>
    </xf>
    <xf numFmtId="0" fontId="12" fillId="20" borderId="10" applyNumberFormat="0" applyAlignment="0" applyProtection="0"/>
    <xf numFmtId="49" fontId="29" fillId="0" borderId="3">
      <alignment horizontal="left" vertical="center" wrapText="1"/>
      <protection locked="0"/>
    </xf>
    <xf numFmtId="49" fontId="29" fillId="0" borderId="3">
      <alignment horizontal="left" vertical="center" wrapText="1"/>
      <protection locked="0"/>
    </xf>
    <xf numFmtId="0" fontId="19" fillId="0" borderId="0" applyNumberFormat="0" applyFill="0" applyBorder="0" applyAlignment="0" applyProtection="0"/>
    <xf numFmtId="0" fontId="17" fillId="0" borderId="11" applyNumberFormat="0" applyFill="0" applyAlignment="0" applyProtection="0"/>
    <xf numFmtId="0" fontId="24" fillId="0" borderId="0" applyNumberFormat="0" applyFill="0" applyBorder="0" applyAlignment="0" applyProtection="0"/>
    <xf numFmtId="0" fontId="28" fillId="16" borderId="0" applyNumberFormat="0" applyBorder="0" applyAlignment="0" applyProtection="0"/>
    <xf numFmtId="0" fontId="10" fillId="16" borderId="0" applyNumberFormat="0" applyBorder="0" applyAlignment="0" applyProtection="0"/>
    <xf numFmtId="0" fontId="28" fillId="17" borderId="0" applyNumberFormat="0" applyBorder="0" applyAlignment="0" applyProtection="0"/>
    <xf numFmtId="0" fontId="10" fillId="17" borderId="0" applyNumberFormat="0" applyBorder="0" applyAlignment="0" applyProtection="0"/>
    <xf numFmtId="0" fontId="28" fillId="18" borderId="0" applyNumberFormat="0" applyBorder="0" applyAlignment="0" applyProtection="0"/>
    <xf numFmtId="0" fontId="10" fillId="18"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9" borderId="0" applyNumberFormat="0" applyBorder="0" applyAlignment="0" applyProtection="0"/>
    <xf numFmtId="0" fontId="10" fillId="19" borderId="0" applyNumberFormat="0" applyBorder="0" applyAlignment="0" applyProtection="0"/>
    <xf numFmtId="0" fontId="45" fillId="7" borderId="1" applyNumberFormat="0" applyAlignment="0" applyProtection="0"/>
    <xf numFmtId="0" fontId="11" fillId="7" borderId="1" applyNumberFormat="0" applyAlignment="0" applyProtection="0"/>
    <xf numFmtId="0" fontId="46" fillId="20" borderId="10" applyNumberFormat="0" applyAlignment="0" applyProtection="0"/>
    <xf numFmtId="0" fontId="12" fillId="20" borderId="10" applyNumberFormat="0" applyAlignment="0" applyProtection="0"/>
    <xf numFmtId="0" fontId="47" fillId="20" borderId="1" applyNumberFormat="0" applyAlignment="0" applyProtection="0"/>
    <xf numFmtId="0" fontId="13" fillId="20" borderId="1" applyNumberFormat="0" applyAlignment="0" applyProtection="0"/>
    <xf numFmtId="169" fontId="7" fillId="0" borderId="0" applyFont="0" applyFill="0" applyBorder="0" applyAlignment="0" applyProtection="0"/>
    <xf numFmtId="0" fontId="48" fillId="0" borderId="4" applyNumberFormat="0" applyFill="0" applyAlignment="0" applyProtection="0"/>
    <xf numFmtId="0" fontId="14" fillId="0" borderId="4" applyNumberFormat="0" applyFill="0" applyAlignment="0" applyProtection="0"/>
    <xf numFmtId="0" fontId="49" fillId="0" borderId="5" applyNumberFormat="0" applyFill="0" applyAlignment="0" applyProtection="0"/>
    <xf numFmtId="0" fontId="15" fillId="0" borderId="5"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51" fillId="0" borderId="11" applyNumberFormat="0" applyFill="0" applyAlignment="0" applyProtection="0"/>
    <xf numFmtId="0" fontId="17" fillId="0" borderId="11" applyNumberFormat="0" applyFill="0" applyAlignment="0" applyProtection="0"/>
    <xf numFmtId="0" fontId="52" fillId="21" borderId="2"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53" fillId="23" borderId="0" applyNumberFormat="0" applyBorder="0" applyAlignment="0" applyProtection="0"/>
    <xf numFmtId="0" fontId="20"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0"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7" fillId="0" borderId="0"/>
    <xf numFmtId="0" fontId="2" fillId="0" borderId="0"/>
    <xf numFmtId="0" fontId="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2" fillId="0" borderId="0"/>
    <xf numFmtId="0" fontId="54" fillId="3" borderId="0" applyNumberFormat="0" applyBorder="0" applyAlignment="0" applyProtection="0"/>
    <xf numFmtId="0" fontId="21" fillId="3" borderId="0" applyNumberFormat="0" applyBorder="0" applyAlignment="0" applyProtection="0"/>
    <xf numFmtId="0" fontId="55" fillId="0" borderId="0" applyNumberFormat="0" applyFill="0" applyBorder="0" applyAlignment="0" applyProtection="0"/>
    <xf numFmtId="0" fontId="22" fillId="0" borderId="0" applyNumberFormat="0" applyFill="0" applyBorder="0" applyAlignment="0" applyProtection="0"/>
    <xf numFmtId="0" fontId="56" fillId="25" borderId="9" applyNumberFormat="0" applyFont="0" applyAlignment="0" applyProtection="0"/>
    <xf numFmtId="0" fontId="7"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7" fillId="0" borderId="8" applyNumberFormat="0" applyFill="0" applyAlignment="0" applyProtection="0"/>
    <xf numFmtId="0" fontId="23" fillId="0" borderId="8" applyNumberFormat="0" applyFill="0" applyAlignment="0" applyProtection="0"/>
    <xf numFmtId="0" fontId="26" fillId="0" borderId="0"/>
    <xf numFmtId="0" fontId="58" fillId="0" borderId="0"/>
    <xf numFmtId="0" fontId="58" fillId="0" borderId="0"/>
    <xf numFmtId="0" fontId="58" fillId="0" borderId="0"/>
    <xf numFmtId="0" fontId="58" fillId="0" borderId="0"/>
    <xf numFmtId="0" fontId="58" fillId="0" borderId="0"/>
    <xf numFmtId="0" fontId="58" fillId="0" borderId="0"/>
    <xf numFmtId="0" fontId="59" fillId="0" borderId="0" applyNumberFormat="0" applyFill="0" applyBorder="0" applyAlignment="0" applyProtection="0"/>
    <xf numFmtId="0" fontId="24" fillId="0" borderId="0" applyNumberFormat="0" applyFill="0" applyBorder="0" applyAlignment="0" applyProtection="0"/>
    <xf numFmtId="170" fontId="60" fillId="0" borderId="0" applyFont="0" applyFill="0" applyBorder="0" applyAlignment="0" applyProtection="0"/>
    <xf numFmtId="171" fontId="6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7"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6" fontId="2" fillId="0" borderId="0" applyFont="0" applyFill="0" applyBorder="0" applyAlignment="0" applyProtection="0"/>
    <xf numFmtId="165" fontId="2" fillId="0" borderId="0" applyFont="0" applyFill="0" applyBorder="0" applyAlignment="0" applyProtection="0"/>
    <xf numFmtId="0" fontId="61" fillId="4" borderId="0" applyNumberFormat="0" applyBorder="0" applyAlignment="0" applyProtection="0"/>
    <xf numFmtId="0" fontId="25" fillId="4" borderId="0" applyNumberFormat="0" applyBorder="0" applyAlignment="0" applyProtection="0"/>
    <xf numFmtId="173" fontId="62" fillId="22" borderId="12" applyFill="0" applyBorder="0">
      <alignment horizontal="center" vertical="center" wrapText="1"/>
      <protection locked="0"/>
    </xf>
    <xf numFmtId="168" fontId="63" fillId="0" borderId="0">
      <alignment wrapText="1"/>
    </xf>
    <xf numFmtId="168" fontId="30" fillId="0" borderId="0">
      <alignment wrapText="1"/>
    </xf>
  </cellStyleXfs>
  <cellXfs count="667">
    <xf numFmtId="0" fontId="0" fillId="0" borderId="0" xfId="0"/>
    <xf numFmtId="0" fontId="5" fillId="0" borderId="0" xfId="0" applyFont="1" applyFill="1" applyAlignment="1">
      <alignment vertical="center"/>
    </xf>
    <xf numFmtId="0" fontId="5" fillId="0" borderId="0" xfId="0" applyFont="1" applyFill="1" applyBorder="1" applyAlignment="1">
      <alignment vertical="center"/>
    </xf>
    <xf numFmtId="0" fontId="5" fillId="0" borderId="3" xfId="0" applyFont="1" applyFill="1" applyBorder="1" applyAlignment="1">
      <alignment horizontal="left" vertical="center" wrapText="1"/>
    </xf>
    <xf numFmtId="0" fontId="4" fillId="0" borderId="0" xfId="0" applyFont="1" applyFill="1" applyAlignment="1">
      <alignment vertical="center"/>
    </xf>
    <xf numFmtId="0" fontId="5" fillId="0" borderId="3" xfId="245" applyFont="1" applyFill="1" applyBorder="1" applyAlignment="1">
      <alignment horizontal="left" vertical="center" wrapText="1"/>
    </xf>
    <xf numFmtId="0" fontId="9" fillId="0" borderId="0" xfId="245" applyFont="1" applyFill="1"/>
    <xf numFmtId="0" fontId="4" fillId="0" borderId="3" xfId="245" applyFont="1" applyFill="1" applyBorder="1" applyAlignment="1">
      <alignment horizontal="left" vertical="center" wrapText="1"/>
    </xf>
    <xf numFmtId="3" fontId="5" fillId="0" borderId="3" xfId="0" applyNumberFormat="1" applyFont="1" applyFill="1" applyBorder="1" applyAlignment="1">
      <alignment horizontal="center" vertical="center" wrapText="1"/>
    </xf>
    <xf numFmtId="0" fontId="64" fillId="0" borderId="0" xfId="0" applyFont="1" applyFill="1"/>
    <xf numFmtId="0" fontId="65" fillId="0" borderId="0" xfId="0" applyFont="1" applyFill="1" applyBorder="1" applyAlignment="1">
      <alignment vertical="center"/>
    </xf>
    <xf numFmtId="0" fontId="65" fillId="0" borderId="0" xfId="0" applyFont="1" applyFill="1" applyBorder="1" applyAlignment="1">
      <alignment horizontal="right" vertical="center"/>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5" fillId="0" borderId="3" xfId="0" applyFont="1" applyFill="1" applyBorder="1" applyAlignment="1">
      <alignment horizontal="left" vertical="center"/>
    </xf>
    <xf numFmtId="0" fontId="65" fillId="0" borderId="3" xfId="0" applyFont="1" applyFill="1" applyBorder="1" applyAlignment="1">
      <alignment horizontal="center" vertical="center"/>
    </xf>
    <xf numFmtId="0" fontId="65" fillId="0" borderId="0" xfId="0" applyFont="1" applyFill="1" applyBorder="1" applyAlignment="1">
      <alignment horizontal="left" vertical="center"/>
    </xf>
    <xf numFmtId="0" fontId="65" fillId="0" borderId="3" xfId="0" applyFont="1" applyFill="1" applyBorder="1" applyAlignment="1">
      <alignment horizontal="center" vertical="center" wrapText="1"/>
    </xf>
    <xf numFmtId="0" fontId="65" fillId="0" borderId="13" xfId="0"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3" xfId="245" applyFont="1" applyFill="1" applyBorder="1" applyAlignment="1">
      <alignment horizontal="left" vertical="center" wrapText="1"/>
    </xf>
    <xf numFmtId="0" fontId="68" fillId="0" borderId="0" xfId="0" applyFont="1" applyFill="1" applyBorder="1" applyAlignment="1">
      <alignment vertical="center"/>
    </xf>
    <xf numFmtId="0" fontId="65" fillId="0" borderId="0" xfId="0" applyFont="1" applyFill="1" applyAlignment="1">
      <alignment vertical="center"/>
    </xf>
    <xf numFmtId="0" fontId="65" fillId="0" borderId="0" xfId="0" applyFont="1" applyFill="1" applyBorder="1" applyAlignment="1">
      <alignment vertical="center" wrapText="1"/>
    </xf>
    <xf numFmtId="0" fontId="65" fillId="0" borderId="0" xfId="0" applyFont="1" applyFill="1" applyAlignment="1">
      <alignment horizontal="right" vertical="center"/>
    </xf>
    <xf numFmtId="49" fontId="65" fillId="0" borderId="3" xfId="0" applyNumberFormat="1" applyFont="1" applyFill="1" applyBorder="1" applyAlignment="1">
      <alignment horizontal="left" vertical="center" wrapText="1"/>
    </xf>
    <xf numFmtId="0" fontId="70" fillId="0" borderId="0" xfId="0" applyFont="1" applyFill="1" applyBorder="1" applyAlignment="1">
      <alignment vertical="center"/>
    </xf>
    <xf numFmtId="0" fontId="65" fillId="0" borderId="3" xfId="245" applyFont="1" applyFill="1" applyBorder="1" applyAlignment="1">
      <alignment horizontal="center" vertical="center"/>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wrapText="1"/>
    </xf>
    <xf numFmtId="0" fontId="68" fillId="0" borderId="3" xfId="245" applyFont="1" applyFill="1" applyBorder="1" applyAlignment="1">
      <alignment horizontal="left" vertical="center" wrapText="1"/>
    </xf>
    <xf numFmtId="0" fontId="65" fillId="0" borderId="0" xfId="245" applyFont="1" applyFill="1" applyBorder="1" applyAlignment="1">
      <alignment vertical="center"/>
    </xf>
    <xf numFmtId="0" fontId="65" fillId="0" borderId="0" xfId="245" applyFont="1" applyFill="1" applyBorder="1" applyAlignment="1">
      <alignment horizontal="center" vertical="center"/>
    </xf>
    <xf numFmtId="0" fontId="68" fillId="0" borderId="0" xfId="245" applyFont="1" applyFill="1" applyBorder="1" applyAlignment="1">
      <alignment vertical="center"/>
    </xf>
    <xf numFmtId="167" fontId="65" fillId="0" borderId="3" xfId="245" applyNumberFormat="1" applyFont="1" applyFill="1" applyBorder="1" applyAlignment="1">
      <alignment horizontal="center" vertical="center" wrapText="1"/>
    </xf>
    <xf numFmtId="0" fontId="68" fillId="0" borderId="3" xfId="245" applyFont="1" applyFill="1" applyBorder="1" applyAlignment="1">
      <alignment horizontal="center" vertical="center"/>
    </xf>
    <xf numFmtId="0" fontId="65" fillId="0" borderId="0" xfId="245" applyFont="1" applyFill="1" applyBorder="1" applyAlignment="1">
      <alignment horizontal="left" vertical="center" wrapText="1"/>
    </xf>
    <xf numFmtId="0" fontId="65" fillId="0" borderId="0" xfId="245" applyFont="1" applyFill="1" applyBorder="1" applyAlignment="1">
      <alignment vertical="center" wrapText="1"/>
    </xf>
    <xf numFmtId="0" fontId="65" fillId="0" borderId="3" xfId="0" quotePrefix="1" applyNumberFormat="1" applyFont="1" applyFill="1" applyBorder="1" applyAlignment="1">
      <alignment horizontal="center" vertical="center"/>
    </xf>
    <xf numFmtId="0" fontId="65" fillId="0" borderId="3" xfId="0" applyNumberFormat="1" applyFont="1" applyFill="1" applyBorder="1" applyAlignment="1">
      <alignment horizontal="center" vertical="center"/>
    </xf>
    <xf numFmtId="0" fontId="65" fillId="0" borderId="0" xfId="0" applyFont="1" applyFill="1"/>
    <xf numFmtId="0" fontId="65" fillId="0" borderId="3" xfId="237" applyFont="1" applyFill="1" applyBorder="1" applyAlignment="1">
      <alignment horizontal="center" vertical="center"/>
    </xf>
    <xf numFmtId="0" fontId="65" fillId="0" borderId="3" xfId="237" applyNumberFormat="1" applyFont="1" applyFill="1" applyBorder="1" applyAlignment="1">
      <alignment horizontal="center" vertical="center" wrapText="1"/>
    </xf>
    <xf numFmtId="167" fontId="65" fillId="0" borderId="3" xfId="237" applyNumberFormat="1" applyFont="1" applyFill="1" applyBorder="1" applyAlignment="1">
      <alignment horizontal="center" vertical="center" wrapText="1"/>
    </xf>
    <xf numFmtId="0" fontId="65" fillId="0" borderId="3" xfId="237" applyNumberFormat="1" applyFont="1" applyFill="1" applyBorder="1" applyAlignment="1">
      <alignment horizontal="left" vertical="center" wrapText="1"/>
    </xf>
    <xf numFmtId="0" fontId="65" fillId="0" borderId="3" xfId="237" applyNumberFormat="1" applyFont="1" applyFill="1" applyBorder="1" applyAlignment="1">
      <alignment horizontal="left" vertical="top" wrapText="1"/>
    </xf>
    <xf numFmtId="49" fontId="65" fillId="0" borderId="3" xfId="237" applyNumberFormat="1" applyFont="1" applyFill="1" applyBorder="1" applyAlignment="1">
      <alignment horizontal="left" vertical="center" wrapText="1"/>
    </xf>
    <xf numFmtId="3" fontId="65" fillId="0" borderId="0" xfId="0" applyNumberFormat="1" applyFont="1" applyFill="1" applyBorder="1" applyAlignment="1">
      <alignment horizontal="center" vertical="center" wrapText="1"/>
    </xf>
    <xf numFmtId="0" fontId="65" fillId="0" borderId="0" xfId="0" applyFont="1" applyFill="1" applyBorder="1" applyAlignment="1">
      <alignment horizontal="left" vertical="center" wrapText="1" shrinkToFit="1"/>
    </xf>
    <xf numFmtId="0" fontId="65" fillId="0" borderId="14" xfId="0" applyFont="1" applyFill="1" applyBorder="1" applyAlignment="1">
      <alignment horizontal="center" vertical="center"/>
    </xf>
    <xf numFmtId="0" fontId="65" fillId="0" borderId="14" xfId="0" applyNumberFormat="1" applyFont="1" applyFill="1" applyBorder="1" applyAlignment="1">
      <alignment horizontal="center" vertical="center"/>
    </xf>
    <xf numFmtId="0" fontId="65"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3" fontId="68" fillId="0" borderId="3" xfId="0" applyNumberFormat="1" applyFont="1" applyFill="1" applyBorder="1" applyAlignment="1">
      <alignment horizontal="center" vertical="center" wrapText="1"/>
    </xf>
    <xf numFmtId="0" fontId="68" fillId="0" borderId="0" xfId="0" applyFont="1" applyFill="1" applyBorder="1" applyAlignment="1">
      <alignment horizontal="right" vertical="center"/>
    </xf>
    <xf numFmtId="167" fontId="65" fillId="0" borderId="0" xfId="0" applyNumberFormat="1" applyFont="1" applyFill="1" applyAlignment="1">
      <alignment vertical="center"/>
    </xf>
    <xf numFmtId="0" fontId="68" fillId="0" borderId="0" xfId="0" applyFont="1" applyFill="1" applyBorder="1" applyAlignment="1">
      <alignment horizontal="left" vertical="center"/>
    </xf>
    <xf numFmtId="0" fontId="68" fillId="0" borderId="15" xfId="0" applyFont="1" applyFill="1" applyBorder="1" applyAlignment="1">
      <alignment horizontal="left" vertical="center" wrapText="1"/>
    </xf>
    <xf numFmtId="0" fontId="65" fillId="0" borderId="3" xfId="0" applyNumberFormat="1" applyFont="1" applyFill="1" applyBorder="1" applyAlignment="1">
      <alignment horizontal="center" vertical="center" wrapText="1" shrinkToFit="1"/>
    </xf>
    <xf numFmtId="3" fontId="65" fillId="0" borderId="16" xfId="0" applyNumberFormat="1" applyFont="1" applyFill="1" applyBorder="1" applyAlignment="1">
      <alignment vertical="center" wrapText="1"/>
    </xf>
    <xf numFmtId="166" fontId="68" fillId="0" borderId="0" xfId="0" applyNumberFormat="1" applyFont="1" applyFill="1" applyBorder="1" applyAlignment="1">
      <alignment horizontal="right" vertical="center" wrapText="1"/>
    </xf>
    <xf numFmtId="166" fontId="68" fillId="0" borderId="0" xfId="0" applyNumberFormat="1" applyFont="1" applyFill="1" applyBorder="1" applyAlignment="1">
      <alignment horizontal="center" vertical="center" wrapText="1"/>
    </xf>
    <xf numFmtId="167" fontId="68" fillId="0" borderId="0" xfId="0" applyNumberFormat="1" applyFont="1" applyFill="1" applyBorder="1" applyAlignment="1">
      <alignment horizontal="center" vertical="center" wrapText="1"/>
    </xf>
    <xf numFmtId="167" fontId="68" fillId="0" borderId="0" xfId="0" applyNumberFormat="1" applyFont="1" applyFill="1" applyBorder="1" applyAlignment="1">
      <alignment horizontal="center" vertical="center"/>
    </xf>
    <xf numFmtId="167" fontId="68" fillId="0" borderId="0" xfId="0" applyNumberFormat="1" applyFont="1" applyFill="1" applyBorder="1" applyAlignment="1">
      <alignment vertical="center"/>
    </xf>
    <xf numFmtId="0" fontId="65" fillId="0" borderId="3" xfId="0" applyFont="1" applyFill="1" applyBorder="1" applyAlignment="1">
      <alignment horizontal="center" vertical="center" wrapText="1" shrinkToFit="1"/>
    </xf>
    <xf numFmtId="3" fontId="65" fillId="0" borderId="3" xfId="0" applyNumberFormat="1" applyFont="1" applyFill="1" applyBorder="1" applyAlignment="1">
      <alignment horizontal="center" vertical="center" wrapText="1" shrinkToFit="1"/>
    </xf>
    <xf numFmtId="0" fontId="65" fillId="0" borderId="15" xfId="0" applyFont="1" applyFill="1" applyBorder="1" applyAlignment="1">
      <alignment vertical="center"/>
    </xf>
    <xf numFmtId="0" fontId="65" fillId="0" borderId="15" xfId="0" applyFont="1" applyFill="1" applyBorder="1" applyAlignment="1">
      <alignment horizontal="center" vertical="center"/>
    </xf>
    <xf numFmtId="167" fontId="72" fillId="0" borderId="3" xfId="0" applyNumberFormat="1" applyFont="1" applyFill="1" applyBorder="1" applyAlignment="1">
      <alignment horizontal="center" vertical="center" wrapText="1"/>
    </xf>
    <xf numFmtId="166" fontId="68" fillId="0" borderId="0" xfId="0" applyNumberFormat="1" applyFont="1" applyFill="1" applyBorder="1" applyAlignment="1">
      <alignment horizontal="right" vertical="center"/>
    </xf>
    <xf numFmtId="0" fontId="66" fillId="0" borderId="0" xfId="0" applyFont="1" applyFill="1" applyAlignment="1">
      <alignment vertical="center"/>
    </xf>
    <xf numFmtId="0" fontId="66" fillId="0" borderId="0" xfId="0" applyFont="1" applyFill="1"/>
    <xf numFmtId="0" fontId="66" fillId="0" borderId="0" xfId="0" applyFont="1" applyFill="1" applyAlignment="1">
      <alignment horizontal="center" vertical="center"/>
    </xf>
    <xf numFmtId="0" fontId="65" fillId="0" borderId="0" xfId="0" applyFont="1" applyFill="1" applyAlignment="1"/>
    <xf numFmtId="0" fontId="68" fillId="0" borderId="0" xfId="0" applyFont="1" applyFill="1" applyAlignment="1">
      <alignment horizontal="right"/>
    </xf>
    <xf numFmtId="0" fontId="65" fillId="0" borderId="0" xfId="0" applyFont="1" applyFill="1" applyBorder="1" applyAlignment="1"/>
    <xf numFmtId="0" fontId="65" fillId="0" borderId="0" xfId="0" applyFont="1" applyFill="1" applyBorder="1" applyAlignment="1">
      <alignment horizontal="center"/>
    </xf>
    <xf numFmtId="0" fontId="65" fillId="0" borderId="0" xfId="0" applyFont="1" applyFill="1" applyAlignment="1">
      <alignment vertical="center" wrapText="1" shrinkToFit="1"/>
    </xf>
    <xf numFmtId="0" fontId="65" fillId="0" borderId="0" xfId="0" applyFont="1" applyFill="1" applyBorder="1" applyAlignment="1">
      <alignment vertical="center" wrapText="1" shrinkToFit="1"/>
    </xf>
    <xf numFmtId="0" fontId="68" fillId="0" borderId="0" xfId="0" applyFont="1" applyFill="1" applyAlignment="1">
      <alignment horizontal="right" vertical="center"/>
    </xf>
    <xf numFmtId="0" fontId="67" fillId="0" borderId="0" xfId="0" applyFont="1" applyFill="1" applyAlignment="1">
      <alignment vertical="center"/>
    </xf>
    <xf numFmtId="0" fontId="70" fillId="0" borderId="0" xfId="0" applyFont="1" applyFill="1" applyAlignment="1">
      <alignment vertical="center"/>
    </xf>
    <xf numFmtId="0" fontId="73" fillId="0" borderId="0" xfId="0" applyFont="1" applyFill="1" applyBorder="1" applyAlignment="1">
      <alignment horizontal="left" vertical="center"/>
    </xf>
    <xf numFmtId="166" fontId="73" fillId="0" borderId="0" xfId="0" applyNumberFormat="1" applyFont="1" applyFill="1" applyBorder="1" applyAlignment="1">
      <alignment horizontal="right" vertical="center"/>
    </xf>
    <xf numFmtId="0" fontId="74" fillId="0" borderId="0" xfId="0" applyFont="1"/>
    <xf numFmtId="0" fontId="73" fillId="0" borderId="0" xfId="0" applyFont="1" applyFill="1" applyBorder="1" applyAlignment="1">
      <alignment vertical="center"/>
    </xf>
    <xf numFmtId="0" fontId="80" fillId="0" borderId="0" xfId="0" applyFont="1" applyFill="1" applyBorder="1" applyAlignment="1">
      <alignment vertical="center"/>
    </xf>
    <xf numFmtId="0" fontId="79" fillId="0" borderId="0" xfId="0" applyFont="1" applyFill="1" applyBorder="1" applyAlignment="1">
      <alignment vertical="center"/>
    </xf>
    <xf numFmtId="0" fontId="80" fillId="0" borderId="0" xfId="0" applyFont="1" applyFill="1" applyAlignment="1">
      <alignment vertical="center"/>
    </xf>
    <xf numFmtId="0" fontId="81" fillId="0" borderId="3" xfId="245" applyFont="1" applyFill="1" applyBorder="1" applyAlignment="1">
      <alignment horizontal="left" vertical="center" wrapText="1"/>
    </xf>
    <xf numFmtId="0" fontId="65" fillId="0" borderId="0" xfId="0" quotePrefix="1" applyFont="1" applyFill="1" applyBorder="1" applyAlignment="1">
      <alignment horizontal="center" vertical="center"/>
    </xf>
    <xf numFmtId="0" fontId="0" fillId="22" borderId="0" xfId="0" applyFill="1"/>
    <xf numFmtId="0" fontId="87" fillId="0" borderId="0" xfId="285" applyFont="1" applyFill="1"/>
    <xf numFmtId="0" fontId="89" fillId="0" borderId="0" xfId="285" applyFont="1" applyAlignment="1">
      <alignment horizontal="left"/>
    </xf>
    <xf numFmtId="0" fontId="91" fillId="0" borderId="0" xfId="285" applyFont="1" applyBorder="1" applyAlignment="1"/>
    <xf numFmtId="0" fontId="0" fillId="0" borderId="0" xfId="0" applyAlignment="1"/>
    <xf numFmtId="0" fontId="86" fillId="0" borderId="0" xfId="285" applyFont="1" applyBorder="1" applyAlignment="1">
      <alignment horizontal="center"/>
    </xf>
    <xf numFmtId="0" fontId="95" fillId="0" borderId="0" xfId="285" applyFont="1" applyFill="1"/>
    <xf numFmtId="0" fontId="95" fillId="0" borderId="0" xfId="285" applyFont="1" applyFill="1" applyBorder="1"/>
    <xf numFmtId="0" fontId="97" fillId="0" borderId="3" xfId="285" applyFont="1" applyFill="1" applyBorder="1" applyAlignment="1">
      <alignment horizontal="center" vertical="center" wrapText="1"/>
    </xf>
    <xf numFmtId="0" fontId="97" fillId="0" borderId="0" xfId="285" applyFont="1" applyFill="1" applyBorder="1" applyAlignment="1">
      <alignment vertical="top"/>
    </xf>
    <xf numFmtId="0" fontId="97" fillId="0" borderId="3" xfId="285" applyFont="1" applyFill="1" applyBorder="1" applyAlignment="1">
      <alignment wrapText="1"/>
    </xf>
    <xf numFmtId="0" fontId="97" fillId="0" borderId="3" xfId="285" applyFont="1" applyFill="1" applyBorder="1" applyAlignment="1">
      <alignment horizontal="center" wrapText="1"/>
    </xf>
    <xf numFmtId="175" fontId="5" fillId="0" borderId="3" xfId="285" applyNumberFormat="1" applyFont="1" applyBorder="1" applyAlignment="1">
      <alignment wrapText="1"/>
    </xf>
    <xf numFmtId="175" fontId="88" fillId="0" borderId="3" xfId="285" applyNumberFormat="1" applyFont="1" applyFill="1" applyBorder="1" applyAlignment="1">
      <alignment wrapText="1"/>
    </xf>
    <xf numFmtId="0" fontId="97" fillId="0" borderId="0" xfId="285" applyFont="1" applyFill="1" applyBorder="1" applyAlignment="1">
      <alignment wrapText="1"/>
    </xf>
    <xf numFmtId="0" fontId="99" fillId="0" borderId="3" xfId="285" applyFont="1" applyBorder="1" applyAlignment="1">
      <alignment horizontal="center" wrapText="1"/>
    </xf>
    <xf numFmtId="0" fontId="2" fillId="0" borderId="0" xfId="285" applyBorder="1" applyAlignment="1">
      <alignment wrapText="1"/>
    </xf>
    <xf numFmtId="0" fontId="99" fillId="29" borderId="3" xfId="285" applyFont="1" applyFill="1" applyBorder="1" applyAlignment="1">
      <alignment horizontal="center" wrapText="1"/>
    </xf>
    <xf numFmtId="175" fontId="5" fillId="29" borderId="3" xfId="285" applyNumberFormat="1" applyFont="1" applyFill="1" applyBorder="1" applyAlignment="1">
      <alignment wrapText="1"/>
    </xf>
    <xf numFmtId="175" fontId="88" fillId="29" borderId="3" xfId="285" applyNumberFormat="1" applyFont="1" applyFill="1" applyBorder="1" applyAlignment="1">
      <alignment wrapText="1"/>
    </xf>
    <xf numFmtId="0" fontId="99" fillId="0" borderId="17" xfId="285" applyFont="1" applyBorder="1" applyAlignment="1">
      <alignment wrapText="1"/>
    </xf>
    <xf numFmtId="0" fontId="99" fillId="0" borderId="17" xfId="285" applyFont="1" applyBorder="1" applyAlignment="1">
      <alignment horizontal="center" wrapText="1"/>
    </xf>
    <xf numFmtId="0" fontId="4" fillId="0" borderId="17" xfId="285" applyNumberFormat="1" applyFont="1" applyBorder="1" applyAlignment="1">
      <alignment horizontal="center" wrapText="1"/>
    </xf>
    <xf numFmtId="175" fontId="99" fillId="0" borderId="17" xfId="285" applyNumberFormat="1" applyFont="1" applyBorder="1" applyAlignment="1">
      <alignment wrapText="1"/>
    </xf>
    <xf numFmtId="175" fontId="88" fillId="0" borderId="17" xfId="285" applyNumberFormat="1" applyFont="1" applyFill="1" applyBorder="1" applyAlignment="1">
      <alignment wrapText="1"/>
    </xf>
    <xf numFmtId="0" fontId="2" fillId="0" borderId="0" xfId="285"/>
    <xf numFmtId="175" fontId="0" fillId="0" borderId="0" xfId="0" applyNumberFormat="1"/>
    <xf numFmtId="0" fontId="5" fillId="0" borderId="0" xfId="0" applyFont="1"/>
    <xf numFmtId="0" fontId="85" fillId="0" borderId="0" xfId="0" applyFont="1"/>
    <xf numFmtId="0" fontId="0" fillId="30" borderId="3" xfId="0" applyFill="1" applyBorder="1"/>
    <xf numFmtId="0" fontId="0" fillId="31" borderId="3" xfId="0" applyFill="1" applyBorder="1"/>
    <xf numFmtId="0" fontId="0" fillId="32" borderId="3" xfId="0" applyFill="1" applyBorder="1"/>
    <xf numFmtId="0" fontId="0" fillId="33" borderId="3" xfId="0" applyFill="1" applyBorder="1"/>
    <xf numFmtId="0" fontId="0" fillId="34" borderId="3" xfId="0" applyFill="1" applyBorder="1"/>
    <xf numFmtId="0" fontId="85" fillId="0" borderId="3" xfId="0" applyFont="1" applyFill="1" applyBorder="1" applyAlignment="1">
      <alignment horizontal="left" vertical="center" wrapText="1"/>
    </xf>
    <xf numFmtId="0" fontId="97" fillId="30" borderId="3" xfId="285" applyNumberFormat="1" applyFont="1" applyFill="1" applyBorder="1" applyAlignment="1">
      <alignment horizontal="center" wrapText="1"/>
    </xf>
    <xf numFmtId="0" fontId="99" fillId="30" borderId="3" xfId="285" applyNumberFormat="1" applyFont="1" applyFill="1" applyBorder="1" applyAlignment="1">
      <alignment horizontal="center" wrapText="1"/>
    </xf>
    <xf numFmtId="0" fontId="99" fillId="31" borderId="3" xfId="285" applyNumberFormat="1" applyFont="1" applyFill="1" applyBorder="1" applyAlignment="1">
      <alignment horizontal="center" wrapText="1"/>
    </xf>
    <xf numFmtId="0" fontId="99" fillId="32" borderId="3" xfId="285" applyNumberFormat="1" applyFont="1" applyFill="1" applyBorder="1" applyAlignment="1">
      <alignment horizontal="center" wrapText="1"/>
    </xf>
    <xf numFmtId="0" fontId="99" fillId="34" borderId="3" xfId="285" applyNumberFormat="1" applyFont="1" applyFill="1" applyBorder="1" applyAlignment="1">
      <alignment horizontal="center" wrapText="1"/>
    </xf>
    <xf numFmtId="0" fontId="99" fillId="35" borderId="3" xfId="285" applyNumberFormat="1" applyFont="1" applyFill="1" applyBorder="1" applyAlignment="1">
      <alignment horizontal="center" wrapText="1"/>
    </xf>
    <xf numFmtId="0" fontId="0" fillId="35" borderId="3" xfId="0" applyFill="1" applyBorder="1"/>
    <xf numFmtId="167" fontId="72" fillId="0" borderId="3" xfId="0" applyNumberFormat="1" applyFont="1" applyFill="1" applyBorder="1" applyAlignment="1" applyProtection="1">
      <alignment horizontal="center" vertical="center" wrapText="1"/>
      <protection locked="0"/>
    </xf>
    <xf numFmtId="1" fontId="65" fillId="0" borderId="3" xfId="0" applyNumberFormat="1" applyFont="1" applyFill="1" applyBorder="1" applyAlignment="1" applyProtection="1">
      <alignment horizontal="center" vertical="center" wrapText="1"/>
      <protection locked="0"/>
    </xf>
    <xf numFmtId="0" fontId="68" fillId="0" borderId="0" xfId="0" applyFont="1" applyFill="1" applyBorder="1" applyAlignment="1">
      <alignment horizontal="center" vertical="center" wrapText="1"/>
    </xf>
    <xf numFmtId="0" fontId="73" fillId="0" borderId="0" xfId="0" applyFont="1" applyFill="1" applyAlignment="1">
      <alignment vertical="center"/>
    </xf>
    <xf numFmtId="3" fontId="80" fillId="29" borderId="3" xfId="0" quotePrefix="1" applyNumberFormat="1" applyFont="1" applyFill="1" applyBorder="1" applyAlignment="1">
      <alignment horizontal="center" vertical="center" wrapText="1"/>
    </xf>
    <xf numFmtId="167" fontId="68" fillId="0" borderId="3" xfId="245" applyNumberFormat="1" applyFont="1" applyFill="1" applyBorder="1" applyAlignment="1">
      <alignment horizontal="center" vertical="center" wrapText="1"/>
    </xf>
    <xf numFmtId="0" fontId="94" fillId="0" borderId="0" xfId="0" applyFont="1" applyAlignment="1"/>
    <xf numFmtId="0" fontId="93" fillId="0" borderId="0" xfId="285" applyFont="1" applyAlignment="1">
      <alignment horizontal="left"/>
    </xf>
    <xf numFmtId="0" fontId="2" fillId="22" borderId="0" xfId="0" applyFont="1" applyFill="1" applyAlignment="1"/>
    <xf numFmtId="0" fontId="88" fillId="0" borderId="0" xfId="285" applyFont="1" applyAlignment="1">
      <alignment horizontal="left"/>
    </xf>
    <xf numFmtId="0" fontId="98" fillId="0" borderId="18" xfId="285" applyFont="1" applyFill="1" applyBorder="1" applyAlignment="1">
      <alignment horizontal="center" vertical="center" wrapText="1"/>
    </xf>
    <xf numFmtId="0" fontId="1" fillId="0" borderId="19" xfId="0" applyFont="1" applyBorder="1" applyAlignment="1">
      <alignment horizontal="center" vertical="center"/>
    </xf>
    <xf numFmtId="0" fontId="97" fillId="30" borderId="14" xfId="285" applyNumberFormat="1" applyFont="1" applyFill="1" applyBorder="1" applyAlignment="1">
      <alignment horizontal="center" wrapText="1"/>
    </xf>
    <xf numFmtId="0" fontId="99" fillId="30" borderId="14" xfId="285" applyNumberFormat="1" applyFont="1" applyFill="1" applyBorder="1" applyAlignment="1">
      <alignment horizontal="center" wrapText="1"/>
    </xf>
    <xf numFmtId="0" fontId="99" fillId="32" borderId="14" xfId="285" applyNumberFormat="1" applyFont="1" applyFill="1" applyBorder="1" applyAlignment="1">
      <alignment horizontal="center" wrapText="1"/>
    </xf>
    <xf numFmtId="0" fontId="99" fillId="31" borderId="14" xfId="285" applyNumberFormat="1" applyFont="1" applyFill="1" applyBorder="1" applyAlignment="1">
      <alignment horizontal="center" wrapText="1"/>
    </xf>
    <xf numFmtId="0" fontId="99" fillId="35" borderId="14" xfId="285" applyNumberFormat="1" applyFont="1" applyFill="1" applyBorder="1" applyAlignment="1">
      <alignment horizontal="center" wrapText="1"/>
    </xf>
    <xf numFmtId="0" fontId="99" fillId="34" borderId="14" xfId="285" applyNumberFormat="1" applyFont="1" applyFill="1" applyBorder="1" applyAlignment="1">
      <alignment horizontal="center" wrapText="1"/>
    </xf>
    <xf numFmtId="2" fontId="4" fillId="0" borderId="17" xfId="285" applyNumberFormat="1" applyFont="1" applyBorder="1" applyAlignment="1">
      <alignment horizontal="center" wrapText="1"/>
    </xf>
    <xf numFmtId="3" fontId="84" fillId="29" borderId="3" xfId="0" quotePrefix="1" applyNumberFormat="1" applyFont="1" applyFill="1" applyBorder="1" applyAlignment="1">
      <alignment horizontal="center" vertical="center" wrapText="1"/>
    </xf>
    <xf numFmtId="0" fontId="65" fillId="0" borderId="3"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0" fontId="65" fillId="29" borderId="0" xfId="0" applyFont="1" applyFill="1" applyAlignment="1">
      <alignment vertical="center"/>
    </xf>
    <xf numFmtId="0" fontId="84" fillId="29" borderId="3" xfId="0" applyFont="1" applyFill="1" applyBorder="1" applyAlignment="1">
      <alignment horizontal="center" vertical="center"/>
    </xf>
    <xf numFmtId="3" fontId="5" fillId="29" borderId="3" xfId="0" quotePrefix="1" applyNumberFormat="1" applyFont="1" applyFill="1" applyBorder="1" applyAlignment="1">
      <alignment horizontal="center" vertical="center" wrapText="1"/>
    </xf>
    <xf numFmtId="1" fontId="84" fillId="29" borderId="3" xfId="0" applyNumberFormat="1" applyFont="1" applyFill="1" applyBorder="1" applyAlignment="1" applyProtection="1">
      <alignment horizontal="center" vertical="center" wrapText="1"/>
      <protection locked="0"/>
    </xf>
    <xf numFmtId="167" fontId="84" fillId="29" borderId="3" xfId="0" quotePrefix="1" applyNumberFormat="1" applyFont="1" applyFill="1" applyBorder="1" applyAlignment="1">
      <alignment horizontal="center" vertical="center" wrapText="1"/>
    </xf>
    <xf numFmtId="176" fontId="80" fillId="29" borderId="3" xfId="0" quotePrefix="1" applyNumberFormat="1" applyFont="1" applyFill="1" applyBorder="1" applyAlignment="1">
      <alignment horizontal="center" vertical="center" wrapText="1"/>
    </xf>
    <xf numFmtId="0" fontId="104" fillId="29" borderId="3" xfId="0" applyFont="1" applyFill="1" applyBorder="1" applyAlignment="1">
      <alignment horizontal="left" vertical="center" wrapText="1"/>
    </xf>
    <xf numFmtId="176" fontId="79" fillId="29" borderId="3" xfId="0" quotePrefix="1" applyNumberFormat="1" applyFont="1" applyFill="1" applyBorder="1" applyAlignment="1">
      <alignment horizontal="center" vertical="center" wrapText="1"/>
    </xf>
    <xf numFmtId="167" fontId="79" fillId="29" borderId="3" xfId="0" quotePrefix="1"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wrapText="1"/>
    </xf>
    <xf numFmtId="176" fontId="65" fillId="0" borderId="3" xfId="245" applyNumberFormat="1" applyFont="1" applyFill="1" applyBorder="1" applyAlignment="1">
      <alignment horizontal="center" vertical="center" wrapText="1"/>
    </xf>
    <xf numFmtId="176" fontId="68" fillId="0" borderId="3" xfId="245" applyNumberFormat="1" applyFont="1" applyFill="1" applyBorder="1" applyAlignment="1">
      <alignment horizontal="center" vertical="center" wrapText="1"/>
    </xf>
    <xf numFmtId="176" fontId="84" fillId="29" borderId="3" xfId="0" quotePrefix="1" applyNumberFormat="1" applyFont="1" applyFill="1" applyBorder="1" applyAlignment="1">
      <alignment horizontal="center" vertical="center" wrapText="1"/>
    </xf>
    <xf numFmtId="0" fontId="84" fillId="0" borderId="0" xfId="0" applyFont="1" applyFill="1" applyAlignment="1">
      <alignment vertical="center"/>
    </xf>
    <xf numFmtId="3" fontId="84" fillId="29" borderId="3" xfId="0" applyNumberFormat="1" applyFont="1" applyFill="1" applyBorder="1" applyAlignment="1">
      <alignment horizontal="center" vertical="center" wrapText="1"/>
    </xf>
    <xf numFmtId="0" fontId="70" fillId="29" borderId="0" xfId="0" applyFont="1" applyFill="1" applyBorder="1" applyAlignment="1">
      <alignment vertical="center"/>
    </xf>
    <xf numFmtId="0" fontId="70" fillId="29" borderId="0" xfId="0" applyFont="1" applyFill="1" applyBorder="1" applyAlignment="1">
      <alignment horizontal="right" vertical="center"/>
    </xf>
    <xf numFmtId="0" fontId="70" fillId="29" borderId="0" xfId="0" applyFont="1" applyFill="1" applyBorder="1" applyAlignment="1">
      <alignment horizontal="center" vertical="center"/>
    </xf>
    <xf numFmtId="0" fontId="75" fillId="29" borderId="0" xfId="0" applyFont="1" applyFill="1" applyBorder="1" applyAlignment="1">
      <alignment vertical="center"/>
    </xf>
    <xf numFmtId="0" fontId="70" fillId="29" borderId="0" xfId="0" applyFont="1" applyFill="1" applyBorder="1" applyAlignment="1">
      <alignment vertical="center" wrapText="1"/>
    </xf>
    <xf numFmtId="0" fontId="70" fillId="29" borderId="0" xfId="0" applyFont="1" applyFill="1" applyAlignment="1">
      <alignment horizontal="center" vertical="center"/>
    </xf>
    <xf numFmtId="0" fontId="70" fillId="29" borderId="14" xfId="0" applyFont="1" applyFill="1" applyBorder="1" applyAlignment="1">
      <alignment vertical="center"/>
    </xf>
    <xf numFmtId="0" fontId="70" fillId="29" borderId="20" xfId="0" applyFont="1" applyFill="1" applyBorder="1" applyAlignment="1">
      <alignment vertical="center"/>
    </xf>
    <xf numFmtId="0" fontId="70" fillId="29" borderId="3" xfId="0" applyFont="1" applyFill="1" applyBorder="1" applyAlignment="1">
      <alignment horizontal="left" vertical="center"/>
    </xf>
    <xf numFmtId="0" fontId="70" fillId="29" borderId="3" xfId="0" applyFont="1" applyFill="1" applyBorder="1" applyAlignment="1">
      <alignment horizontal="center" vertical="center"/>
    </xf>
    <xf numFmtId="0" fontId="70" fillId="29" borderId="14" xfId="0" applyFont="1" applyFill="1" applyBorder="1" applyAlignment="1">
      <alignment vertical="center" wrapText="1"/>
    </xf>
    <xf numFmtId="0" fontId="70" fillId="29" borderId="20" xfId="0" applyFont="1" applyFill="1" applyBorder="1" applyAlignment="1">
      <alignment vertical="center" wrapText="1"/>
    </xf>
    <xf numFmtId="0" fontId="70" fillId="29" borderId="3" xfId="0" applyFont="1" applyFill="1" applyBorder="1" applyAlignment="1">
      <alignment vertical="center"/>
    </xf>
    <xf numFmtId="0" fontId="70" fillId="29" borderId="3" xfId="0" applyFont="1" applyFill="1" applyBorder="1" applyAlignment="1">
      <alignment horizontal="center" vertical="center" wrapText="1"/>
    </xf>
    <xf numFmtId="0" fontId="70" fillId="29" borderId="3" xfId="0" applyFont="1" applyFill="1" applyBorder="1" applyAlignment="1">
      <alignment vertical="center" wrapText="1"/>
    </xf>
    <xf numFmtId="0" fontId="70" fillId="29" borderId="21" xfId="0" applyFont="1" applyFill="1" applyBorder="1" applyAlignment="1">
      <alignment vertical="center" wrapText="1"/>
    </xf>
    <xf numFmtId="0" fontId="70" fillId="29" borderId="21" xfId="0" applyFont="1" applyFill="1" applyBorder="1" applyAlignment="1">
      <alignment vertical="center"/>
    </xf>
    <xf numFmtId="0" fontId="70" fillId="29" borderId="13" xfId="0" applyFont="1" applyFill="1" applyBorder="1" applyAlignment="1">
      <alignment horizontal="center" vertical="center" wrapText="1"/>
    </xf>
    <xf numFmtId="0" fontId="85" fillId="29" borderId="3" xfId="0" applyFont="1" applyFill="1" applyBorder="1" applyAlignment="1">
      <alignment horizontal="center" vertical="center"/>
    </xf>
    <xf numFmtId="0" fontId="85" fillId="29" borderId="3" xfId="0" applyFont="1" applyFill="1" applyBorder="1" applyAlignment="1">
      <alignment horizontal="center" vertical="center" wrapText="1"/>
    </xf>
    <xf numFmtId="0" fontId="70" fillId="29" borderId="3" xfId="182" applyFont="1" applyFill="1" applyBorder="1" applyAlignment="1">
      <alignment horizontal="left" vertical="center" wrapText="1"/>
      <protection locked="0"/>
    </xf>
    <xf numFmtId="3" fontId="70" fillId="29" borderId="3" xfId="0" applyNumberFormat="1" applyFont="1" applyFill="1" applyBorder="1" applyAlignment="1">
      <alignment horizontal="center" vertical="center" wrapText="1"/>
    </xf>
    <xf numFmtId="176" fontId="70" fillId="29" borderId="3" xfId="0" applyNumberFormat="1" applyFont="1" applyFill="1" applyBorder="1" applyAlignment="1">
      <alignment horizontal="center" vertical="center" wrapText="1"/>
    </xf>
    <xf numFmtId="167" fontId="70" fillId="29" borderId="3" xfId="0" applyNumberFormat="1" applyFont="1" applyFill="1" applyBorder="1" applyAlignment="1">
      <alignment horizontal="center" vertical="center" wrapText="1"/>
    </xf>
    <xf numFmtId="0" fontId="73" fillId="29" borderId="3" xfId="182" applyFont="1" applyFill="1" applyBorder="1" applyAlignment="1">
      <alignment horizontal="left" vertical="center" wrapText="1"/>
      <protection locked="0"/>
    </xf>
    <xf numFmtId="0" fontId="73" fillId="29" borderId="3" xfId="0" applyFont="1" applyFill="1" applyBorder="1" applyAlignment="1">
      <alignment horizontal="left" vertical="center" wrapText="1"/>
    </xf>
    <xf numFmtId="0" fontId="73" fillId="29" borderId="3" xfId="0" applyFont="1" applyFill="1" applyBorder="1" applyAlignment="1" applyProtection="1">
      <alignment horizontal="left" vertical="center" wrapText="1"/>
      <protection locked="0"/>
    </xf>
    <xf numFmtId="0" fontId="70" fillId="29" borderId="3" xfId="0" applyFont="1" applyFill="1" applyBorder="1" applyAlignment="1" applyProtection="1">
      <alignment horizontal="left" vertical="center" wrapText="1"/>
      <protection locked="0"/>
    </xf>
    <xf numFmtId="0" fontId="70" fillId="29" borderId="3" xfId="0" applyFont="1" applyFill="1" applyBorder="1" applyAlignment="1">
      <alignment horizontal="left" vertical="center" wrapText="1"/>
    </xf>
    <xf numFmtId="0" fontId="70" fillId="29" borderId="3" xfId="245" applyFont="1" applyFill="1" applyBorder="1" applyAlignment="1">
      <alignment horizontal="left" vertical="center" wrapText="1"/>
    </xf>
    <xf numFmtId="0" fontId="70" fillId="29" borderId="0" xfId="0" applyFont="1" applyFill="1" applyBorder="1" applyAlignment="1">
      <alignment horizontal="left" vertical="center" wrapText="1"/>
    </xf>
    <xf numFmtId="0" fontId="69" fillId="29" borderId="0" xfId="0" applyFont="1" applyFill="1" applyBorder="1" applyAlignment="1">
      <alignment horizontal="right" vertical="center" wrapText="1"/>
    </xf>
    <xf numFmtId="0" fontId="70" fillId="29" borderId="0" xfId="0" quotePrefix="1" applyFont="1" applyFill="1" applyBorder="1" applyAlignment="1">
      <alignment horizontal="center" vertical="center"/>
    </xf>
    <xf numFmtId="0" fontId="70" fillId="29" borderId="0" xfId="0" applyFont="1" applyFill="1" applyAlignment="1">
      <alignment vertical="center"/>
    </xf>
    <xf numFmtId="0" fontId="65" fillId="29" borderId="0" xfId="0" applyFont="1" applyFill="1" applyBorder="1" applyAlignment="1">
      <alignment vertical="center"/>
    </xf>
    <xf numFmtId="0" fontId="65" fillId="29" borderId="0" xfId="0" applyFont="1" applyFill="1" applyAlignment="1">
      <alignment horizontal="left" vertical="center"/>
    </xf>
    <xf numFmtId="0" fontId="65" fillId="29" borderId="0" xfId="0" applyFont="1" applyFill="1" applyAlignment="1">
      <alignment horizontal="right"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65" fillId="29" borderId="3" xfId="0" applyFont="1" applyFill="1" applyBorder="1" applyAlignment="1">
      <alignment horizontal="center" vertical="center" wrapText="1"/>
    </xf>
    <xf numFmtId="0" fontId="80" fillId="29" borderId="3" xfId="0" applyFont="1" applyFill="1" applyBorder="1" applyAlignment="1">
      <alignment horizontal="left" vertical="center" wrapText="1"/>
    </xf>
    <xf numFmtId="0" fontId="80" fillId="29" borderId="3" xfId="0" quotePrefix="1" applyFont="1" applyFill="1" applyBorder="1" applyAlignment="1">
      <alignment horizontal="center" vertical="center"/>
    </xf>
    <xf numFmtId="167" fontId="80" fillId="29" borderId="3" xfId="0" quotePrefix="1" applyNumberFormat="1" applyFont="1" applyFill="1" applyBorder="1" applyAlignment="1">
      <alignment horizontal="center" vertical="center" wrapText="1"/>
    </xf>
    <xf numFmtId="49" fontId="80" fillId="29" borderId="3" xfId="0" quotePrefix="1" applyNumberFormat="1" applyFont="1" applyFill="1" applyBorder="1" applyAlignment="1">
      <alignment horizontal="left" vertical="center" wrapText="1"/>
    </xf>
    <xf numFmtId="0" fontId="84" fillId="29" borderId="3" xfId="0" applyFont="1" applyFill="1" applyBorder="1" applyAlignment="1">
      <alignment horizontal="left" vertical="center" wrapText="1"/>
    </xf>
    <xf numFmtId="0" fontId="103" fillId="29" borderId="3" xfId="0" applyFont="1" applyFill="1" applyBorder="1" applyAlignment="1">
      <alignment horizontal="center" vertical="center"/>
    </xf>
    <xf numFmtId="176" fontId="103" fillId="29" borderId="3" xfId="0" quotePrefix="1" applyNumberFormat="1" applyFont="1" applyFill="1" applyBorder="1" applyAlignment="1">
      <alignment horizontal="center" vertical="center" wrapText="1"/>
    </xf>
    <xf numFmtId="49" fontId="103" fillId="29" borderId="3" xfId="0" quotePrefix="1" applyNumberFormat="1" applyFont="1" applyFill="1" applyBorder="1" applyAlignment="1">
      <alignment horizontal="left" vertical="center" wrapText="1"/>
    </xf>
    <xf numFmtId="176" fontId="80" fillId="29" borderId="3" xfId="0" applyNumberFormat="1" applyFont="1" applyFill="1" applyBorder="1" applyAlignment="1">
      <alignment horizontal="center" vertical="center" wrapText="1"/>
    </xf>
    <xf numFmtId="167" fontId="80" fillId="29" borderId="3" xfId="0" applyNumberFormat="1" applyFont="1" applyFill="1" applyBorder="1" applyAlignment="1">
      <alignment horizontal="center" vertical="center" wrapText="1"/>
    </xf>
    <xf numFmtId="49" fontId="80" fillId="29" borderId="3" xfId="0" applyNumberFormat="1" applyFont="1" applyFill="1" applyBorder="1" applyAlignment="1">
      <alignment horizontal="left" vertical="center" wrapText="1"/>
    </xf>
    <xf numFmtId="0" fontId="79" fillId="29" borderId="3" xfId="0" applyFont="1" applyFill="1" applyBorder="1" applyAlignment="1">
      <alignment horizontal="left" vertical="center" wrapText="1"/>
    </xf>
    <xf numFmtId="0" fontId="79" fillId="29" borderId="3" xfId="0" quotePrefix="1" applyFont="1" applyFill="1" applyBorder="1" applyAlignment="1">
      <alignment horizontal="center" vertical="center"/>
    </xf>
    <xf numFmtId="49" fontId="79" fillId="29" borderId="3" xfId="0" quotePrefix="1" applyNumberFormat="1" applyFont="1" applyFill="1" applyBorder="1" applyAlignment="1">
      <alignment horizontal="left" vertical="center" wrapText="1"/>
    </xf>
    <xf numFmtId="0" fontId="104" fillId="29" borderId="3" xfId="0" applyFont="1" applyFill="1" applyBorder="1" applyAlignment="1" applyProtection="1">
      <alignment horizontal="left" vertical="center" wrapText="1"/>
      <protection locked="0"/>
    </xf>
    <xf numFmtId="176" fontId="5" fillId="29" borderId="3" xfId="0" quotePrefix="1" applyNumberFormat="1" applyFont="1" applyFill="1" applyBorder="1" applyAlignment="1">
      <alignment horizontal="center" vertical="center" wrapText="1"/>
    </xf>
    <xf numFmtId="0" fontId="83" fillId="29" borderId="3" xfId="0" applyFont="1" applyFill="1" applyBorder="1" applyAlignment="1">
      <alignment horizontal="left" wrapText="1"/>
    </xf>
    <xf numFmtId="0" fontId="84" fillId="29" borderId="20" xfId="0" applyFont="1" applyFill="1" applyBorder="1" applyAlignment="1" applyProtection="1">
      <alignment horizontal="center" vertical="center"/>
      <protection locked="0"/>
    </xf>
    <xf numFmtId="0" fontId="106" fillId="29" borderId="3" xfId="0" applyFont="1" applyFill="1" applyBorder="1" applyAlignment="1">
      <alignment horizontal="left" wrapText="1"/>
    </xf>
    <xf numFmtId="0" fontId="5" fillId="29" borderId="22" xfId="0" applyFont="1" applyFill="1" applyBorder="1" applyAlignment="1" applyProtection="1">
      <alignment horizontal="left" vertical="center" wrapText="1"/>
      <protection locked="0"/>
    </xf>
    <xf numFmtId="0" fontId="80" fillId="29" borderId="3" xfId="0" applyFont="1" applyFill="1" applyBorder="1" applyAlignment="1">
      <alignment horizontal="left" vertical="center" wrapText="1" shrinkToFit="1"/>
    </xf>
    <xf numFmtId="0" fontId="84" fillId="29" borderId="3" xfId="0" applyFont="1" applyFill="1" applyBorder="1" applyAlignment="1" applyProtection="1">
      <alignment horizontal="left" vertical="center" wrapText="1"/>
      <protection locked="0"/>
    </xf>
    <xf numFmtId="0" fontId="80" fillId="29" borderId="3" xfId="0" applyFont="1" applyFill="1" applyBorder="1" applyAlignment="1">
      <alignment horizontal="center" vertical="center"/>
    </xf>
    <xf numFmtId="0" fontId="80" fillId="29" borderId="3" xfId="182" applyFont="1" applyFill="1" applyBorder="1" applyAlignment="1">
      <alignment horizontal="left" vertical="center" wrapText="1"/>
      <protection locked="0"/>
    </xf>
    <xf numFmtId="0" fontId="80" fillId="29" borderId="3" xfId="0" applyFont="1" applyFill="1" applyBorder="1" applyAlignment="1" applyProtection="1">
      <alignment horizontal="left" vertical="center" wrapText="1"/>
      <protection locked="0"/>
    </xf>
    <xf numFmtId="0" fontId="65" fillId="29" borderId="3" xfId="0" applyFont="1" applyFill="1" applyBorder="1" applyAlignment="1">
      <alignment horizontal="left" vertical="center" wrapText="1"/>
    </xf>
    <xf numFmtId="0" fontId="80" fillId="29" borderId="3" xfId="0" applyFont="1" applyFill="1" applyBorder="1" applyAlignment="1">
      <alignment horizontal="center"/>
    </xf>
    <xf numFmtId="0" fontId="80" fillId="29" borderId="3" xfId="0" quotePrefix="1" applyFont="1" applyFill="1" applyBorder="1" applyAlignment="1">
      <alignment horizontal="center"/>
    </xf>
    <xf numFmtId="0" fontId="79" fillId="29" borderId="3" xfId="0" quotePrefix="1" applyFont="1" applyFill="1" applyBorder="1" applyAlignment="1">
      <alignment horizontal="center"/>
    </xf>
    <xf numFmtId="0" fontId="79" fillId="29" borderId="0" xfId="0" applyFont="1" applyFill="1" applyBorder="1" applyAlignment="1">
      <alignment horizontal="left" vertical="center" wrapText="1"/>
    </xf>
    <xf numFmtId="0" fontId="79" fillId="29" borderId="0" xfId="0" quotePrefix="1" applyFont="1" applyFill="1" applyBorder="1" applyAlignment="1">
      <alignment horizontal="center"/>
    </xf>
    <xf numFmtId="0" fontId="69" fillId="29" borderId="0" xfId="0" applyFont="1" applyFill="1" applyBorder="1" applyAlignment="1">
      <alignment horizontal="center" vertical="center" wrapText="1"/>
    </xf>
    <xf numFmtId="0" fontId="65" fillId="29" borderId="0" xfId="0" quotePrefix="1" applyFont="1" applyFill="1" applyBorder="1" applyAlignment="1">
      <alignment horizontal="center" vertical="center"/>
    </xf>
    <xf numFmtId="0" fontId="65" fillId="29" borderId="0" xfId="0" applyFont="1" applyFill="1" applyBorder="1" applyAlignment="1">
      <alignment horizontal="left" vertical="center"/>
    </xf>
    <xf numFmtId="0" fontId="65" fillId="29" borderId="0" xfId="0" applyFont="1" applyFill="1" applyBorder="1" applyAlignment="1">
      <alignment horizontal="left" vertical="center" wrapText="1"/>
    </xf>
    <xf numFmtId="0" fontId="65" fillId="29" borderId="0" xfId="0" applyFont="1" applyFill="1" applyBorder="1" applyAlignment="1">
      <alignment horizontal="center" vertical="center"/>
    </xf>
    <xf numFmtId="0" fontId="65" fillId="29" borderId="0" xfId="0" applyFont="1" applyFill="1" applyBorder="1" applyAlignment="1">
      <alignment vertical="center" wrapText="1"/>
    </xf>
    <xf numFmtId="0" fontId="5" fillId="29" borderId="0" xfId="0" applyFont="1" applyFill="1" applyAlignment="1">
      <alignment vertical="center"/>
    </xf>
    <xf numFmtId="0" fontId="5" fillId="29" borderId="0" xfId="0" applyFont="1" applyFill="1" applyAlignment="1">
      <alignment horizontal="right" vertical="center"/>
    </xf>
    <xf numFmtId="0" fontId="5" fillId="29" borderId="0" xfId="0" applyFont="1" applyFill="1" applyBorder="1" applyAlignment="1">
      <alignment horizontal="right" vertical="center"/>
    </xf>
    <xf numFmtId="0" fontId="5" fillId="29" borderId="3" xfId="0" applyFont="1" applyFill="1" applyBorder="1" applyAlignment="1">
      <alignment horizontal="center" vertical="center" wrapText="1"/>
    </xf>
    <xf numFmtId="0" fontId="5" fillId="29" borderId="1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left" vertical="center" wrapText="1"/>
    </xf>
    <xf numFmtId="0" fontId="5" fillId="29" borderId="3" xfId="0" quotePrefix="1" applyFont="1" applyFill="1" applyBorder="1" applyAlignment="1">
      <alignment horizontal="center" vertical="center"/>
    </xf>
    <xf numFmtId="167" fontId="5" fillId="29" borderId="3" xfId="0" quotePrefix="1" applyNumberFormat="1" applyFont="1" applyFill="1" applyBorder="1" applyAlignment="1">
      <alignment horizontal="center" vertical="center" wrapText="1"/>
    </xf>
    <xf numFmtId="0" fontId="5" fillId="29" borderId="3" xfId="0" applyFont="1" applyFill="1" applyBorder="1" applyAlignment="1">
      <alignment vertical="center"/>
    </xf>
    <xf numFmtId="3" fontId="5" fillId="29" borderId="3" xfId="0" applyNumberFormat="1" applyFont="1" applyFill="1" applyBorder="1" applyAlignment="1">
      <alignment horizontal="center" vertical="center" wrapText="1"/>
    </xf>
    <xf numFmtId="0" fontId="5" fillId="29" borderId="3" xfId="0" applyFont="1" applyFill="1" applyBorder="1" applyAlignment="1">
      <alignment horizontal="center" vertical="center"/>
    </xf>
    <xf numFmtId="176" fontId="5" fillId="29" borderId="3" xfId="0" applyNumberFormat="1" applyFont="1" applyFill="1" applyBorder="1" applyAlignment="1">
      <alignment horizontal="center" vertical="center" wrapText="1"/>
    </xf>
    <xf numFmtId="167" fontId="5" fillId="29" borderId="3" xfId="0" applyNumberFormat="1" applyFont="1" applyFill="1" applyBorder="1" applyAlignment="1">
      <alignment horizontal="center" vertical="center" wrapText="1"/>
    </xf>
    <xf numFmtId="0" fontId="84" fillId="29" borderId="3" xfId="245" applyFont="1" applyFill="1" applyBorder="1" applyAlignment="1">
      <alignment horizontal="left" vertical="center" wrapText="1"/>
    </xf>
    <xf numFmtId="176" fontId="84" fillId="29" borderId="3" xfId="0" applyNumberFormat="1" applyFont="1" applyFill="1" applyBorder="1" applyAlignment="1">
      <alignment horizontal="center" vertical="center" wrapText="1"/>
    </xf>
    <xf numFmtId="167" fontId="84" fillId="29" borderId="3" xfId="0" applyNumberFormat="1" applyFont="1" applyFill="1" applyBorder="1" applyAlignment="1">
      <alignment horizontal="center" vertical="center" wrapText="1"/>
    </xf>
    <xf numFmtId="0" fontId="4" fillId="29" borderId="3" xfId="245" applyFont="1" applyFill="1" applyBorder="1" applyAlignment="1">
      <alignment horizontal="left" vertical="center" wrapText="1"/>
    </xf>
    <xf numFmtId="0" fontId="4" fillId="29" borderId="3" xfId="0" applyFont="1" applyFill="1" applyBorder="1" applyAlignment="1">
      <alignment horizontal="left" vertical="center" wrapText="1"/>
    </xf>
    <xf numFmtId="0" fontId="5" fillId="29" borderId="3" xfId="0" applyFont="1" applyFill="1" applyBorder="1" applyAlignment="1">
      <alignment horizontal="left" vertical="center" wrapText="1"/>
    </xf>
    <xf numFmtId="0" fontId="5" fillId="29" borderId="3" xfId="0" applyFont="1" applyFill="1" applyBorder="1" applyAlignment="1" applyProtection="1">
      <alignment horizontal="left" vertical="center" wrapText="1"/>
      <protection locked="0"/>
    </xf>
    <xf numFmtId="0" fontId="4" fillId="29" borderId="0" xfId="0" quotePrefix="1" applyFont="1" applyFill="1" applyBorder="1" applyAlignment="1">
      <alignment horizontal="center" vertical="center"/>
    </xf>
    <xf numFmtId="0" fontId="4" fillId="29" borderId="0" xfId="0" applyFont="1" applyFill="1" applyBorder="1" applyAlignment="1">
      <alignment horizontal="left" vertical="center" wrapText="1"/>
    </xf>
    <xf numFmtId="0" fontId="5" fillId="29" borderId="0" xfId="0" quotePrefix="1" applyFont="1" applyFill="1" applyBorder="1" applyAlignment="1">
      <alignment horizontal="center" vertical="center"/>
    </xf>
    <xf numFmtId="167" fontId="5" fillId="29" borderId="0" xfId="0" applyNumberFormat="1" applyFont="1" applyFill="1" applyBorder="1" applyAlignment="1">
      <alignment horizontal="center" vertical="center" wrapText="1"/>
    </xf>
    <xf numFmtId="0" fontId="68" fillId="29" borderId="0" xfId="0" applyFont="1" applyFill="1" applyBorder="1" applyAlignment="1">
      <alignment horizontal="center" vertical="center" wrapText="1"/>
    </xf>
    <xf numFmtId="0" fontId="68" fillId="29" borderId="0" xfId="0" applyFont="1" applyFill="1" applyBorder="1" applyAlignment="1">
      <alignment vertical="center"/>
    </xf>
    <xf numFmtId="49" fontId="65" fillId="29" borderId="0" xfId="0" applyNumberFormat="1" applyFont="1" applyFill="1" applyBorder="1" applyAlignment="1">
      <alignment horizontal="left" vertical="center" wrapText="1"/>
    </xf>
    <xf numFmtId="0" fontId="65" fillId="29" borderId="3" xfId="0" applyFont="1" applyFill="1" applyBorder="1" applyAlignment="1">
      <alignment horizontal="center" vertical="center"/>
    </xf>
    <xf numFmtId="3" fontId="68"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245" applyNumberFormat="1" applyFont="1" applyFill="1" applyBorder="1" applyAlignment="1">
      <alignment horizontal="center" vertical="center" wrapText="1"/>
    </xf>
    <xf numFmtId="0" fontId="107" fillId="29" borderId="3" xfId="245" applyFont="1" applyFill="1" applyBorder="1" applyAlignment="1">
      <alignment horizontal="left" vertical="center" wrapText="1"/>
    </xf>
    <xf numFmtId="167" fontId="65" fillId="0" borderId="3" xfId="0" applyNumberFormat="1" applyFont="1" applyFill="1" applyBorder="1" applyAlignment="1">
      <alignment horizontal="center" vertical="center"/>
    </xf>
    <xf numFmtId="3" fontId="4" fillId="29" borderId="0" xfId="0" quotePrefix="1" applyNumberFormat="1"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84" fillId="29" borderId="3" xfId="0" applyNumberFormat="1" applyFont="1" applyFill="1" applyBorder="1" applyAlignment="1" applyProtection="1">
      <alignment horizontal="center" vertical="center" wrapText="1"/>
      <protection locked="0"/>
    </xf>
    <xf numFmtId="167" fontId="5" fillId="29" borderId="0" xfId="0" quotePrefix="1" applyNumberFormat="1" applyFont="1" applyFill="1" applyBorder="1" applyAlignment="1">
      <alignment vertical="center" wrapText="1"/>
    </xf>
    <xf numFmtId="0" fontId="65" fillId="29" borderId="0" xfId="0" applyFont="1" applyFill="1"/>
    <xf numFmtId="0" fontId="65" fillId="29" borderId="3" xfId="237" applyFont="1" applyFill="1" applyBorder="1" applyAlignment="1">
      <alignment horizontal="center" vertical="center"/>
    </xf>
    <xf numFmtId="167" fontId="65" fillId="29" borderId="3" xfId="237" applyNumberFormat="1" applyFont="1" applyFill="1" applyBorder="1" applyAlignment="1">
      <alignment horizontal="center" vertical="center" wrapText="1"/>
    </xf>
    <xf numFmtId="0" fontId="104" fillId="0" borderId="3" xfId="0" applyFont="1" applyFill="1" applyBorder="1" applyAlignment="1" applyProtection="1">
      <alignment horizontal="left" vertical="center" wrapText="1"/>
      <protection locked="0"/>
    </xf>
    <xf numFmtId="0" fontId="108" fillId="0" borderId="3" xfId="0" applyNumberFormat="1" applyFont="1" applyFill="1" applyBorder="1" applyAlignment="1" applyProtection="1">
      <alignment horizontal="left" vertical="center" wrapText="1"/>
      <protection locked="0"/>
    </xf>
    <xf numFmtId="0" fontId="65" fillId="29" borderId="0" xfId="0" applyFont="1" applyFill="1" applyBorder="1" applyAlignment="1">
      <alignment horizontal="center" vertical="center"/>
    </xf>
    <xf numFmtId="0" fontId="5" fillId="0" borderId="3" xfId="0" applyNumberFormat="1" applyFont="1" applyFill="1" applyBorder="1" applyAlignment="1" applyProtection="1">
      <alignment horizontal="center" vertical="center" wrapText="1"/>
      <protection locked="0"/>
    </xf>
    <xf numFmtId="167" fontId="65" fillId="0" borderId="3" xfId="0"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xf>
    <xf numFmtId="3" fontId="68" fillId="29" borderId="3" xfId="245" applyNumberFormat="1" applyFont="1" applyFill="1" applyBorder="1" applyAlignment="1">
      <alignment horizontal="center" vertical="center" wrapText="1"/>
    </xf>
    <xf numFmtId="4" fontId="65" fillId="29" borderId="3" xfId="237" applyNumberFormat="1" applyFont="1" applyFill="1" applyBorder="1" applyAlignment="1">
      <alignment horizontal="center" vertical="center" wrapText="1"/>
    </xf>
    <xf numFmtId="177" fontId="65" fillId="0" borderId="3" xfId="237" applyNumberFormat="1" applyFont="1" applyFill="1" applyBorder="1" applyAlignment="1">
      <alignment horizontal="center" vertical="center" wrapText="1"/>
    </xf>
    <xf numFmtId="177" fontId="65" fillId="29" borderId="3" xfId="237" applyNumberFormat="1" applyFont="1" applyFill="1" applyBorder="1" applyAlignment="1">
      <alignment horizontal="center" vertical="center" wrapText="1"/>
    </xf>
    <xf numFmtId="178" fontId="65" fillId="29" borderId="3" xfId="237"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wrapText="1"/>
    </xf>
    <xf numFmtId="176" fontId="65" fillId="29" borderId="3" xfId="0" applyNumberFormat="1" applyFont="1" applyFill="1" applyBorder="1" applyAlignment="1">
      <alignment horizontal="center" vertical="center"/>
    </xf>
    <xf numFmtId="167" fontId="65" fillId="0" borderId="3" xfId="0" applyNumberFormat="1" applyFont="1" applyFill="1" applyBorder="1" applyAlignment="1">
      <alignment horizontal="center" vertical="center" wrapText="1"/>
    </xf>
    <xf numFmtId="49" fontId="107" fillId="29" borderId="14" xfId="0" applyNumberFormat="1" applyFont="1" applyFill="1" applyBorder="1" applyAlignment="1" applyProtection="1">
      <alignment vertical="center" wrapText="1"/>
      <protection locked="0"/>
    </xf>
    <xf numFmtId="49" fontId="107" fillId="29" borderId="14" xfId="0" applyNumberFormat="1" applyFont="1" applyFill="1" applyBorder="1" applyAlignment="1" applyProtection="1">
      <alignment horizontal="left" vertical="center" wrapText="1"/>
      <protection locked="0"/>
    </xf>
    <xf numFmtId="0" fontId="107" fillId="29" borderId="3" xfId="0" applyFont="1" applyFill="1" applyBorder="1" applyAlignment="1" applyProtection="1">
      <alignment horizontal="left" vertical="center" wrapText="1"/>
      <protection locked="0"/>
    </xf>
    <xf numFmtId="1" fontId="108" fillId="29" borderId="3" xfId="0" applyNumberFormat="1" applyFont="1" applyFill="1" applyBorder="1" applyAlignment="1" applyProtection="1">
      <alignment horizontal="center" vertical="center" wrapText="1"/>
      <protection locked="0"/>
    </xf>
    <xf numFmtId="176" fontId="65" fillId="0" borderId="3" xfId="0" applyNumberFormat="1" applyFont="1" applyFill="1" applyBorder="1" applyAlignment="1">
      <alignment horizontal="center" vertical="center" wrapText="1"/>
    </xf>
    <xf numFmtId="0" fontId="108" fillId="0" borderId="3" xfId="0" applyFont="1" applyFill="1" applyBorder="1" applyAlignment="1" applyProtection="1">
      <alignment horizontal="left" vertical="center" wrapText="1"/>
      <protection locked="0"/>
    </xf>
    <xf numFmtId="0" fontId="4" fillId="29" borderId="3" xfId="0" applyFont="1" applyFill="1" applyBorder="1" applyAlignment="1">
      <alignment horizontal="center" vertical="center"/>
    </xf>
    <xf numFmtId="3" fontId="4" fillId="29" borderId="3" xfId="0" applyNumberFormat="1" applyFont="1" applyFill="1" applyBorder="1" applyAlignment="1">
      <alignment horizontal="center" vertical="center" wrapText="1"/>
    </xf>
    <xf numFmtId="176" fontId="4" fillId="29" borderId="3" xfId="0" applyNumberFormat="1" applyFont="1" applyFill="1" applyBorder="1" applyAlignment="1">
      <alignment horizontal="center" vertical="center" wrapText="1"/>
    </xf>
    <xf numFmtId="167" fontId="4"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103" fillId="29" borderId="3" xfId="0" quotePrefix="1" applyNumberFormat="1" applyFont="1" applyFill="1" applyBorder="1" applyAlignment="1">
      <alignment horizontal="center" vertical="center" wrapText="1"/>
    </xf>
    <xf numFmtId="3" fontId="80" fillId="29" borderId="3" xfId="0" applyNumberFormat="1" applyFont="1" applyFill="1" applyBorder="1" applyAlignment="1">
      <alignment horizontal="center" vertical="center" wrapText="1"/>
    </xf>
    <xf numFmtId="3" fontId="79" fillId="29" borderId="3" xfId="0" quotePrefix="1" applyNumberFormat="1" applyFont="1" applyFill="1" applyBorder="1" applyAlignment="1">
      <alignment horizontal="center" vertical="center" wrapText="1"/>
    </xf>
    <xf numFmtId="0" fontId="111" fillId="29" borderId="3" xfId="0" applyFont="1" applyFill="1" applyBorder="1" applyAlignment="1">
      <alignment horizontal="left" wrapText="1"/>
    </xf>
    <xf numFmtId="3" fontId="5" fillId="29" borderId="3" xfId="0" applyNumberFormat="1" applyFont="1" applyFill="1" applyBorder="1" applyAlignment="1">
      <alignment vertical="center"/>
    </xf>
    <xf numFmtId="3" fontId="65" fillId="29" borderId="3" xfId="0" quotePrefix="1" applyNumberFormat="1" applyFont="1" applyFill="1" applyBorder="1" applyAlignment="1">
      <alignment horizontal="center" vertical="center" wrapText="1"/>
    </xf>
    <xf numFmtId="176" fontId="65" fillId="29" borderId="3" xfId="0" quotePrefix="1" applyNumberFormat="1" applyFont="1" applyFill="1" applyBorder="1" applyAlignment="1">
      <alignment horizontal="center" vertical="center" wrapText="1"/>
    </xf>
    <xf numFmtId="167" fontId="65" fillId="29" borderId="3" xfId="0" quotePrefix="1"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xf>
    <xf numFmtId="4" fontId="70"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80"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29"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29" borderId="3" xfId="0" applyFont="1" applyFill="1" applyBorder="1" applyAlignment="1">
      <alignment horizontal="center" vertical="center"/>
    </xf>
    <xf numFmtId="0" fontId="5" fillId="29" borderId="3" xfId="0" applyNumberFormat="1" applyFont="1" applyFill="1" applyBorder="1" applyAlignment="1" applyProtection="1">
      <alignment horizontal="center" vertical="center" wrapText="1"/>
      <protection locked="0"/>
    </xf>
    <xf numFmtId="49" fontId="5" fillId="29" borderId="3" xfId="0" applyNumberFormat="1" applyFont="1" applyFill="1" applyBorder="1" applyAlignment="1" applyProtection="1">
      <alignment horizontal="center" vertical="center" wrapText="1"/>
      <protection locked="0"/>
    </xf>
    <xf numFmtId="176" fontId="68" fillId="29" borderId="3" xfId="0" applyNumberFormat="1" applyFont="1" applyFill="1" applyBorder="1" applyAlignment="1">
      <alignment horizontal="center" vertical="center"/>
    </xf>
    <xf numFmtId="167" fontId="65" fillId="0" borderId="3" xfId="0" applyNumberFormat="1" applyFont="1" applyFill="1" applyBorder="1" applyAlignment="1">
      <alignment horizontal="center" vertical="center" wrapText="1"/>
    </xf>
    <xf numFmtId="0" fontId="84" fillId="0" borderId="3" xfId="245" applyFont="1" applyFill="1" applyBorder="1" applyAlignment="1" applyProtection="1">
      <alignment horizontal="left" vertical="center" wrapText="1"/>
      <protection locked="0"/>
    </xf>
    <xf numFmtId="0" fontId="5" fillId="0" borderId="3" xfId="0" applyFont="1" applyFill="1" applyBorder="1" applyAlignment="1">
      <alignment horizontal="center" vertical="center" wrapText="1"/>
    </xf>
    <xf numFmtId="0" fontId="112" fillId="29" borderId="3" xfId="245" applyFont="1" applyFill="1" applyBorder="1" applyAlignment="1">
      <alignment horizontal="left" vertical="center" wrapText="1"/>
    </xf>
    <xf numFmtId="0" fontId="84" fillId="0" borderId="3" xfId="0" applyFont="1" applyFill="1" applyBorder="1" applyAlignment="1" applyProtection="1">
      <alignment horizontal="center" vertical="center"/>
      <protection locked="0"/>
    </xf>
    <xf numFmtId="167" fontId="65" fillId="0"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3" fontId="113" fillId="29" borderId="3" xfId="0" quotePrefix="1" applyNumberFormat="1" applyFont="1" applyFill="1" applyBorder="1" applyAlignment="1">
      <alignment horizontal="center" vertical="center" wrapText="1"/>
    </xf>
    <xf numFmtId="167" fontId="113" fillId="29" borderId="3" xfId="0" quotePrefix="1" applyNumberFormat="1" applyFont="1" applyFill="1" applyBorder="1" applyAlignment="1">
      <alignment horizontal="center" vertical="center" wrapText="1"/>
    </xf>
    <xf numFmtId="0" fontId="65" fillId="0" borderId="1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0"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29" borderId="3" xfId="0" applyFont="1" applyFill="1" applyBorder="1" applyAlignment="1">
      <alignment horizontal="center" vertical="center"/>
    </xf>
    <xf numFmtId="49" fontId="85" fillId="29" borderId="3" xfId="0" applyNumberFormat="1" applyFont="1" applyFill="1" applyBorder="1" applyAlignment="1" applyProtection="1">
      <alignment horizontal="center" vertical="center" wrapText="1"/>
      <protection locked="0"/>
    </xf>
    <xf numFmtId="3" fontId="80" fillId="0" borderId="0"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167" fontId="68" fillId="0" borderId="3" xfId="0" applyNumberFormat="1" applyFont="1" applyFill="1" applyBorder="1" applyAlignment="1">
      <alignment horizontal="center" vertical="center"/>
    </xf>
    <xf numFmtId="3" fontId="84" fillId="0" borderId="3" xfId="0" quotePrefix="1" applyNumberFormat="1" applyFont="1" applyFill="1" applyBorder="1" applyAlignment="1">
      <alignment horizontal="center" vertical="center" wrapText="1"/>
    </xf>
    <xf numFmtId="3" fontId="5" fillId="0" borderId="3" xfId="0" quotePrefix="1"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8" fillId="0" borderId="15" xfId="0" applyFont="1" applyFill="1" applyBorder="1" applyAlignment="1">
      <alignment horizontal="center" vertical="center" wrapText="1"/>
    </xf>
    <xf numFmtId="0" fontId="68" fillId="0" borderId="15" xfId="0" applyFont="1" applyFill="1" applyBorder="1" applyAlignment="1">
      <alignment vertical="center"/>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49" fontId="5" fillId="29" borderId="3" xfId="0" applyNumberFormat="1" applyFont="1" applyFill="1" applyBorder="1" applyAlignment="1" applyProtection="1">
      <alignment horizontal="left" vertical="center" wrapText="1"/>
      <protection locked="0"/>
    </xf>
    <xf numFmtId="49" fontId="5" fillId="29" borderId="14" xfId="0" applyNumberFormat="1" applyFont="1" applyFill="1" applyBorder="1" applyAlignment="1" applyProtection="1">
      <alignment horizontal="left" vertical="center" wrapText="1"/>
      <protection locked="0"/>
    </xf>
    <xf numFmtId="1" fontId="115" fillId="0" borderId="3" xfId="0" applyNumberFormat="1" applyFont="1" applyFill="1" applyBorder="1" applyAlignment="1" applyProtection="1">
      <alignment horizontal="center" vertical="center" wrapText="1"/>
      <protection locked="0"/>
    </xf>
    <xf numFmtId="166" fontId="73" fillId="0" borderId="0"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78" fillId="29" borderId="0" xfId="0" applyFont="1" applyFill="1" applyBorder="1" applyAlignment="1">
      <alignment horizontal="left" vertical="center" wrapText="1"/>
    </xf>
    <xf numFmtId="0" fontId="70" fillId="29" borderId="0" xfId="0" applyFont="1" applyFill="1" applyBorder="1" applyAlignment="1">
      <alignment horizontal="left" vertical="center" wrapText="1"/>
    </xf>
    <xf numFmtId="0" fontId="70" fillId="29" borderId="15" xfId="0" applyFont="1" applyFill="1" applyBorder="1" applyAlignment="1">
      <alignment horizontal="left" vertical="center" wrapText="1"/>
    </xf>
    <xf numFmtId="0" fontId="73" fillId="29" borderId="14" xfId="0" applyFont="1" applyFill="1" applyBorder="1" applyAlignment="1">
      <alignment horizontal="center" vertical="center" wrapText="1"/>
    </xf>
    <xf numFmtId="0" fontId="73" fillId="29" borderId="21" xfId="0" applyFont="1" applyFill="1" applyBorder="1" applyAlignment="1">
      <alignment horizontal="center" vertical="center" wrapText="1"/>
    </xf>
    <xf numFmtId="0" fontId="73" fillId="29" borderId="20" xfId="0" applyFont="1" applyFill="1" applyBorder="1" applyAlignment="1">
      <alignment horizontal="center" vertical="center" wrapText="1"/>
    </xf>
    <xf numFmtId="0" fontId="73" fillId="29" borderId="3" xfId="0" applyFont="1" applyFill="1" applyBorder="1" applyAlignment="1">
      <alignment horizontal="center" vertical="center" wrapText="1"/>
    </xf>
    <xf numFmtId="0" fontId="70" fillId="29" borderId="3" xfId="0" applyFont="1" applyFill="1" applyBorder="1" applyAlignment="1">
      <alignment horizontal="center" vertical="center" wrapText="1"/>
    </xf>
    <xf numFmtId="0" fontId="70" fillId="29" borderId="21" xfId="0" applyFont="1" applyFill="1" applyBorder="1" applyAlignment="1">
      <alignment horizontal="left" vertical="center" wrapText="1"/>
    </xf>
    <xf numFmtId="0" fontId="5" fillId="29" borderId="0" xfId="0" applyFont="1" applyFill="1" applyBorder="1" applyAlignment="1">
      <alignment horizontal="center" vertical="center"/>
    </xf>
    <xf numFmtId="0" fontId="73" fillId="29" borderId="3" xfId="237" applyNumberFormat="1" applyFont="1" applyFill="1" applyBorder="1" applyAlignment="1">
      <alignment horizontal="center" vertical="center" wrapText="1"/>
    </xf>
    <xf numFmtId="0" fontId="73" fillId="29" borderId="14" xfId="0" applyFont="1" applyFill="1" applyBorder="1" applyAlignment="1" applyProtection="1">
      <alignment horizontal="center" vertical="center" wrapText="1"/>
      <protection locked="0"/>
    </xf>
    <xf numFmtId="0" fontId="73" fillId="29" borderId="21" xfId="0" applyFont="1" applyFill="1" applyBorder="1" applyAlignment="1" applyProtection="1">
      <alignment horizontal="center" vertical="center" wrapText="1"/>
      <protection locked="0"/>
    </xf>
    <xf numFmtId="0" fontId="105" fillId="29" borderId="0" xfId="0" applyFont="1" applyFill="1" applyBorder="1" applyAlignment="1">
      <alignment horizontal="center" vertical="center"/>
    </xf>
    <xf numFmtId="0" fontId="77" fillId="29" borderId="0" xfId="0" applyFont="1" applyFill="1" applyBorder="1" applyAlignment="1">
      <alignment horizontal="center" vertical="center"/>
    </xf>
    <xf numFmtId="0" fontId="73" fillId="29" borderId="0" xfId="0" applyFont="1" applyFill="1" applyBorder="1" applyAlignment="1">
      <alignment horizontal="center" vertical="center"/>
    </xf>
    <xf numFmtId="0" fontId="74" fillId="29" borderId="20" xfId="0" applyFont="1" applyFill="1" applyBorder="1" applyAlignment="1">
      <alignment horizontal="left" vertical="center" wrapText="1"/>
    </xf>
    <xf numFmtId="0" fontId="70" fillId="29" borderId="20" xfId="0" applyFont="1" applyFill="1" applyBorder="1" applyAlignment="1">
      <alignment horizontal="left" vertical="center" wrapText="1"/>
    </xf>
    <xf numFmtId="0" fontId="70" fillId="29" borderId="3" xfId="245" applyFont="1" applyFill="1" applyBorder="1" applyAlignment="1">
      <alignment horizontal="center" vertical="center"/>
    </xf>
    <xf numFmtId="0" fontId="70" fillId="29" borderId="13" xfId="0" applyFont="1" applyFill="1" applyBorder="1" applyAlignment="1">
      <alignment horizontal="center" vertical="center" wrapText="1"/>
    </xf>
    <xf numFmtId="0" fontId="70" fillId="29" borderId="22" xfId="0" applyFont="1" applyFill="1" applyBorder="1" applyAlignment="1">
      <alignment horizontal="center" vertical="center" wrapText="1"/>
    </xf>
    <xf numFmtId="0" fontId="70" fillId="29" borderId="0" xfId="0" applyFont="1" applyFill="1" applyBorder="1" applyAlignment="1">
      <alignment horizontal="center" vertical="center"/>
    </xf>
    <xf numFmtId="0" fontId="70" fillId="29" borderId="3" xfId="0" applyFont="1" applyFill="1" applyBorder="1" applyAlignment="1">
      <alignment horizontal="center" vertical="center"/>
    </xf>
    <xf numFmtId="0" fontId="79" fillId="29" borderId="14" xfId="0" applyFont="1" applyFill="1" applyBorder="1" applyAlignment="1">
      <alignment horizontal="center" vertical="center" wrapText="1"/>
    </xf>
    <xf numFmtId="0" fontId="79" fillId="29" borderId="21" xfId="0" applyFont="1" applyFill="1" applyBorder="1" applyAlignment="1">
      <alignment horizontal="center" vertical="center" wrapText="1"/>
    </xf>
    <xf numFmtId="0" fontId="79" fillId="29" borderId="20" xfId="0" applyFont="1" applyFill="1" applyBorder="1" applyAlignment="1">
      <alignment horizontal="center" vertical="center" wrapText="1"/>
    </xf>
    <xf numFmtId="0" fontId="65" fillId="29" borderId="0" xfId="0" applyFont="1" applyFill="1" applyBorder="1" applyAlignment="1">
      <alignment horizontal="center" vertical="center"/>
    </xf>
    <xf numFmtId="0" fontId="79" fillId="29" borderId="3" xfId="0" applyFont="1" applyFill="1" applyBorder="1" applyAlignment="1">
      <alignment horizontal="left" vertical="center"/>
    </xf>
    <xf numFmtId="0" fontId="79" fillId="29" borderId="0" xfId="0" applyFont="1" applyFill="1" applyBorder="1" applyAlignment="1">
      <alignment horizontal="center" vertical="center" wrapText="1"/>
    </xf>
    <xf numFmtId="0" fontId="68" fillId="29" borderId="0" xfId="0" applyFont="1" applyFill="1" applyBorder="1" applyAlignment="1">
      <alignment horizontal="center" vertical="center"/>
    </xf>
    <xf numFmtId="0" fontId="79" fillId="29" borderId="14" xfId="0" applyFont="1" applyFill="1" applyBorder="1" applyAlignment="1">
      <alignment horizontal="left" vertical="center" wrapText="1"/>
    </xf>
    <xf numFmtId="0" fontId="79" fillId="29" borderId="21" xfId="0" applyFont="1" applyFill="1" applyBorder="1" applyAlignment="1">
      <alignment horizontal="left" vertical="center" wrapText="1"/>
    </xf>
    <xf numFmtId="0" fontId="79" fillId="29" borderId="20" xfId="0" applyFont="1" applyFill="1" applyBorder="1" applyAlignment="1">
      <alignment horizontal="left" vertical="center" wrapText="1"/>
    </xf>
    <xf numFmtId="0" fontId="80" fillId="29" borderId="3" xfId="0" applyFont="1" applyFill="1" applyBorder="1" applyAlignment="1">
      <alignment horizontal="center"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80" fillId="29" borderId="23" xfId="0" applyFont="1" applyFill="1" applyBorder="1" applyAlignment="1">
      <alignment horizontal="center" vertical="center" wrapText="1"/>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8" fillId="0" borderId="14" xfId="245" applyFont="1" applyFill="1" applyBorder="1" applyAlignment="1">
      <alignment horizontal="center" vertical="center" wrapText="1"/>
    </xf>
    <xf numFmtId="0" fontId="68" fillId="0" borderId="21" xfId="245" applyFont="1" applyFill="1" applyBorder="1" applyAlignment="1">
      <alignment horizontal="center" vertical="center" wrapText="1"/>
    </xf>
    <xf numFmtId="0" fontId="68" fillId="0" borderId="20" xfId="245" applyFont="1" applyFill="1" applyBorder="1" applyAlignment="1">
      <alignment horizontal="center" vertical="center" wrapText="1"/>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xf>
    <xf numFmtId="0" fontId="65" fillId="0" borderId="3" xfId="245" applyFont="1" applyFill="1" applyBorder="1" applyAlignment="1">
      <alignment horizontal="center" vertical="center" wrapText="1"/>
    </xf>
    <xf numFmtId="0" fontId="65" fillId="0" borderId="13" xfId="0" applyFont="1" applyFill="1" applyBorder="1" applyAlignment="1">
      <alignment horizontal="center" vertical="center" wrapText="1"/>
    </xf>
    <xf numFmtId="0" fontId="65" fillId="0" borderId="23" xfId="0" applyFont="1" applyFill="1" applyBorder="1" applyAlignment="1">
      <alignment horizontal="center" vertical="center" wrapText="1"/>
    </xf>
    <xf numFmtId="0" fontId="4" fillId="29" borderId="14" xfId="245" applyFont="1" applyFill="1" applyBorder="1" applyAlignment="1">
      <alignment horizontal="center" vertical="center" wrapText="1"/>
    </xf>
    <xf numFmtId="0" fontId="4" fillId="29" borderId="21" xfId="245" applyFont="1" applyFill="1" applyBorder="1" applyAlignment="1">
      <alignment horizontal="center" vertical="center" wrapText="1"/>
    </xf>
    <xf numFmtId="0" fontId="4" fillId="29" borderId="20" xfId="245" applyFont="1" applyFill="1" applyBorder="1" applyAlignment="1">
      <alignment horizontal="center" vertical="center" wrapText="1"/>
    </xf>
    <xf numFmtId="3" fontId="114" fillId="29" borderId="0" xfId="0" applyNumberFormat="1" applyFont="1" applyFill="1" applyBorder="1" applyAlignment="1">
      <alignment horizontal="left" vertical="center"/>
    </xf>
    <xf numFmtId="0" fontId="114" fillId="29" borderId="0" xfId="0" applyFont="1" applyFill="1" applyBorder="1" applyAlignment="1">
      <alignment horizontal="left" vertical="center"/>
    </xf>
    <xf numFmtId="0" fontId="4" fillId="29" borderId="0" xfId="0"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center" vertical="center"/>
    </xf>
    <xf numFmtId="0" fontId="65" fillId="29" borderId="13" xfId="0" applyFont="1" applyFill="1" applyBorder="1" applyAlignment="1">
      <alignment horizontal="center" vertical="center" wrapText="1"/>
    </xf>
    <xf numFmtId="0" fontId="65" fillId="29" borderId="23" xfId="0" applyFont="1" applyFill="1" applyBorder="1" applyAlignment="1">
      <alignment horizontal="center" vertical="center" wrapText="1"/>
    </xf>
    <xf numFmtId="0" fontId="82" fillId="0" borderId="0" xfId="0" applyFont="1" applyFill="1" applyBorder="1" applyAlignment="1">
      <alignment horizontal="left" vertical="center" wrapText="1"/>
    </xf>
    <xf numFmtId="0" fontId="65" fillId="0" borderId="13" xfId="0" applyFont="1" applyFill="1" applyBorder="1" applyAlignment="1">
      <alignment horizontal="center" vertical="center"/>
    </xf>
    <xf numFmtId="0" fontId="65" fillId="0" borderId="22" xfId="0" applyFont="1" applyFill="1" applyBorder="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0" fontId="65" fillId="0" borderId="15" xfId="0" applyFont="1" applyFill="1" applyBorder="1" applyAlignment="1">
      <alignment horizontal="center" vertical="center"/>
    </xf>
    <xf numFmtId="0" fontId="68" fillId="0" borderId="14" xfId="237" applyFont="1" applyFill="1" applyBorder="1" applyAlignment="1">
      <alignment horizontal="center" vertical="center"/>
    </xf>
    <xf numFmtId="0" fontId="68" fillId="0" borderId="21" xfId="237" applyFont="1" applyFill="1" applyBorder="1" applyAlignment="1">
      <alignment horizontal="center" vertical="center"/>
    </xf>
    <xf numFmtId="0" fontId="68" fillId="0" borderId="20" xfId="237" applyFont="1" applyFill="1" applyBorder="1" applyAlignment="1">
      <alignment horizontal="center" vertical="center"/>
    </xf>
    <xf numFmtId="0" fontId="68" fillId="0" borderId="15" xfId="0" applyFont="1" applyFill="1" applyBorder="1" applyAlignment="1">
      <alignment horizontal="center" vertical="center"/>
    </xf>
    <xf numFmtId="0" fontId="68" fillId="0" borderId="0" xfId="237" applyNumberFormat="1" applyFont="1" applyFill="1" applyBorder="1" applyAlignment="1">
      <alignment horizontal="center" vertical="center" wrapText="1"/>
    </xf>
    <xf numFmtId="0" fontId="65" fillId="0" borderId="13" xfId="237" applyNumberFormat="1" applyFont="1" applyFill="1" applyBorder="1" applyAlignment="1">
      <alignment horizontal="center" vertical="center" wrapText="1"/>
    </xf>
    <xf numFmtId="0" fontId="65" fillId="0" borderId="22" xfId="237" applyNumberFormat="1" applyFont="1" applyFill="1" applyBorder="1" applyAlignment="1">
      <alignment horizontal="center" vertical="center" wrapText="1"/>
    </xf>
    <xf numFmtId="0" fontId="65" fillId="29" borderId="24" xfId="0" applyFont="1" applyFill="1" applyBorder="1" applyAlignment="1">
      <alignment horizontal="center" vertical="center" wrapText="1"/>
    </xf>
    <xf numFmtId="0" fontId="65" fillId="29" borderId="25"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0" borderId="0" xfId="0" applyFont="1" applyFill="1" applyAlignment="1">
      <alignment horizontal="right" vertical="center" wrapText="1"/>
    </xf>
    <xf numFmtId="0" fontId="68" fillId="0" borderId="0" xfId="0" applyFont="1" applyFill="1" applyAlignment="1">
      <alignment horizontal="center" vertical="center"/>
    </xf>
    <xf numFmtId="0" fontId="81" fillId="29" borderId="0" xfId="0" applyFont="1" applyFill="1" applyAlignment="1">
      <alignment vertical="center" wrapText="1"/>
    </xf>
    <xf numFmtId="0" fontId="81" fillId="29" borderId="0" xfId="0" applyFont="1" applyFill="1" applyAlignment="1">
      <alignment vertical="center"/>
    </xf>
    <xf numFmtId="0" fontId="65" fillId="0" borderId="14" xfId="0" applyFont="1" applyFill="1" applyBorder="1" applyAlignment="1">
      <alignment horizontal="center" vertical="center" wrapText="1"/>
    </xf>
    <xf numFmtId="0" fontId="65" fillId="0" borderId="20" xfId="0" applyFont="1" applyFill="1" applyBorder="1" applyAlignment="1">
      <alignment horizontal="center" vertical="center" wrapText="1"/>
    </xf>
    <xf numFmtId="0" fontId="65" fillId="29" borderId="3" xfId="0" applyFont="1" applyFill="1" applyBorder="1" applyAlignment="1">
      <alignment horizontal="center" vertical="center" wrapText="1"/>
    </xf>
    <xf numFmtId="176" fontId="65" fillId="29" borderId="3" xfId="0" applyNumberFormat="1" applyFont="1" applyFill="1" applyBorder="1" applyAlignment="1">
      <alignment horizontal="center" vertical="center" wrapText="1"/>
    </xf>
    <xf numFmtId="0" fontId="65" fillId="29" borderId="14" xfId="0" applyFont="1" applyFill="1" applyBorder="1" applyAlignment="1">
      <alignment horizontal="center" vertical="center" wrapText="1"/>
    </xf>
    <xf numFmtId="0" fontId="65" fillId="29" borderId="20" xfId="0" applyFont="1" applyFill="1" applyBorder="1" applyAlignment="1">
      <alignment horizontal="center" vertical="center" wrapText="1"/>
    </xf>
    <xf numFmtId="0" fontId="68" fillId="29" borderId="15" xfId="0" applyFont="1" applyFill="1" applyBorder="1" applyAlignment="1">
      <alignment horizontal="center" vertical="center"/>
    </xf>
    <xf numFmtId="0" fontId="65" fillId="0" borderId="22" xfId="0" applyFont="1" applyFill="1" applyBorder="1" applyAlignment="1">
      <alignment horizontal="center" vertical="center" wrapText="1"/>
    </xf>
    <xf numFmtId="0" fontId="65" fillId="0" borderId="14" xfId="0" applyFont="1" applyFill="1" applyBorder="1" applyAlignment="1">
      <alignment horizontal="left" vertical="center"/>
    </xf>
    <xf numFmtId="0" fontId="65" fillId="0" borderId="21" xfId="0" applyFont="1" applyFill="1" applyBorder="1" applyAlignment="1">
      <alignment horizontal="left" vertical="center"/>
    </xf>
    <xf numFmtId="0" fontId="65" fillId="0" borderId="20" xfId="0" applyFont="1" applyFill="1" applyBorder="1" applyAlignment="1">
      <alignment horizontal="left" vertical="center"/>
    </xf>
    <xf numFmtId="0" fontId="65" fillId="0" borderId="21" xfId="0" applyFont="1" applyFill="1" applyBorder="1" applyAlignment="1">
      <alignment horizontal="center" vertical="center" wrapText="1"/>
    </xf>
    <xf numFmtId="0" fontId="109" fillId="0" borderId="14" xfId="0" applyFont="1" applyFill="1" applyBorder="1" applyAlignment="1">
      <alignment horizontal="left" vertical="center" wrapText="1"/>
    </xf>
    <xf numFmtId="0" fontId="109" fillId="0" borderId="21" xfId="0" applyFont="1" applyFill="1" applyBorder="1" applyAlignment="1">
      <alignment horizontal="left" vertical="center" wrapText="1"/>
    </xf>
    <xf numFmtId="0" fontId="109" fillId="0" borderId="20" xfId="0" applyFont="1" applyFill="1" applyBorder="1" applyAlignment="1">
      <alignment horizontal="left" vertical="center" wrapText="1"/>
    </xf>
    <xf numFmtId="3" fontId="65" fillId="29" borderId="14" xfId="0" applyNumberFormat="1" applyFont="1" applyFill="1" applyBorder="1" applyAlignment="1">
      <alignment horizontal="center" vertical="center" wrapText="1"/>
    </xf>
    <xf numFmtId="3" fontId="65" fillId="29" borderId="20" xfId="0" applyNumberFormat="1" applyFont="1" applyFill="1" applyBorder="1" applyAlignment="1">
      <alignment horizontal="center" vertical="center" wrapText="1"/>
    </xf>
    <xf numFmtId="3" fontId="65" fillId="0" borderId="14" xfId="0" applyNumberFormat="1" applyFont="1" applyFill="1" applyBorder="1" applyAlignment="1">
      <alignment horizontal="center" vertical="center" wrapText="1"/>
    </xf>
    <xf numFmtId="3" fontId="65" fillId="0" borderId="21" xfId="0" applyNumberFormat="1" applyFont="1" applyFill="1" applyBorder="1" applyAlignment="1">
      <alignment horizontal="center" vertical="center" wrapText="1"/>
    </xf>
    <xf numFmtId="3" fontId="65" fillId="0" borderId="20" xfId="0" applyNumberFormat="1" applyFont="1" applyFill="1" applyBorder="1" applyAlignment="1">
      <alignment horizontal="center" vertical="center" wrapText="1"/>
    </xf>
    <xf numFmtId="49" fontId="65" fillId="0" borderId="14" xfId="0" applyNumberFormat="1" applyFont="1" applyFill="1" applyBorder="1" applyAlignment="1">
      <alignment horizontal="center" vertical="center" wrapText="1"/>
    </xf>
    <xf numFmtId="49" fontId="65" fillId="0" borderId="20" xfId="0" applyNumberFormat="1" applyFont="1" applyFill="1" applyBorder="1" applyAlignment="1">
      <alignment horizontal="center" vertical="center" wrapText="1"/>
    </xf>
    <xf numFmtId="167" fontId="65" fillId="0" borderId="14" xfId="0" applyNumberFormat="1" applyFont="1" applyFill="1" applyBorder="1" applyAlignment="1">
      <alignment horizontal="center" vertical="center" wrapText="1"/>
    </xf>
    <xf numFmtId="167" fontId="65" fillId="0" borderId="20" xfId="0" applyNumberFormat="1" applyFont="1" applyFill="1" applyBorder="1" applyAlignment="1">
      <alignment horizontal="center" vertical="center" wrapText="1"/>
    </xf>
    <xf numFmtId="0" fontId="65" fillId="0" borderId="14" xfId="0" applyNumberFormat="1" applyFont="1" applyFill="1" applyBorder="1" applyAlignment="1">
      <alignment horizontal="center" vertical="center" wrapText="1"/>
    </xf>
    <xf numFmtId="0" fontId="65" fillId="0" borderId="21" xfId="0" applyNumberFormat="1" applyFont="1" applyFill="1" applyBorder="1" applyAlignment="1">
      <alignment horizontal="center" vertical="center" wrapText="1"/>
    </xf>
    <xf numFmtId="0" fontId="65" fillId="0" borderId="20"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49" fontId="65" fillId="0" borderId="3" xfId="0" applyNumberFormat="1" applyFont="1" applyFill="1" applyBorder="1" applyAlignment="1">
      <alignment horizontal="left" vertical="center" wrapText="1"/>
    </xf>
    <xf numFmtId="0"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49" fontId="65" fillId="0" borderId="14" xfId="0" applyNumberFormat="1" applyFont="1" applyFill="1" applyBorder="1" applyAlignment="1">
      <alignment horizontal="left" vertical="center" wrapText="1"/>
    </xf>
    <xf numFmtId="49" fontId="65" fillId="0" borderId="20" xfId="0" applyNumberFormat="1" applyFont="1" applyFill="1" applyBorder="1" applyAlignment="1">
      <alignment horizontal="left" vertical="center" wrapText="1"/>
    </xf>
    <xf numFmtId="0" fontId="65" fillId="0" borderId="3" xfId="0" applyFont="1" applyFill="1" applyBorder="1" applyAlignment="1">
      <alignment horizontal="left" vertical="center" wrapText="1"/>
    </xf>
    <xf numFmtId="0" fontId="65" fillId="0" borderId="14" xfId="0" applyFont="1" applyFill="1" applyBorder="1" applyAlignment="1">
      <alignment horizontal="center" vertical="center"/>
    </xf>
    <xf numFmtId="0" fontId="65" fillId="0" borderId="20" xfId="0" applyFont="1" applyFill="1" applyBorder="1" applyAlignment="1">
      <alignment horizontal="center" vertical="center"/>
    </xf>
    <xf numFmtId="0" fontId="65" fillId="29" borderId="14" xfId="0" applyFont="1" applyFill="1" applyBorder="1" applyAlignment="1">
      <alignment horizontal="center" vertical="center"/>
    </xf>
    <xf numFmtId="0" fontId="65" fillId="29" borderId="20" xfId="0" applyFont="1" applyFill="1" applyBorder="1" applyAlignment="1">
      <alignment horizontal="center" vertical="center"/>
    </xf>
    <xf numFmtId="0" fontId="65" fillId="29" borderId="3" xfId="0" applyFont="1" applyFill="1" applyBorder="1" applyAlignment="1">
      <alignment horizontal="center" vertical="center"/>
    </xf>
    <xf numFmtId="0" fontId="65" fillId="0" borderId="3" xfId="0" applyFont="1" applyFill="1" applyBorder="1" applyAlignment="1">
      <alignment horizontal="center" vertical="center"/>
    </xf>
    <xf numFmtId="0" fontId="65" fillId="0" borderId="21" xfId="0" applyFont="1" applyFill="1" applyBorder="1" applyAlignment="1">
      <alignment horizontal="center" vertical="center"/>
    </xf>
    <xf numFmtId="0" fontId="68" fillId="0" borderId="14" xfId="0" applyFont="1" applyFill="1" applyBorder="1" applyAlignment="1">
      <alignment horizontal="center" vertical="center" wrapText="1"/>
    </xf>
    <xf numFmtId="0" fontId="68" fillId="0" borderId="21" xfId="0" applyFont="1" applyFill="1" applyBorder="1" applyAlignment="1">
      <alignment horizontal="center" vertical="center" wrapText="1"/>
    </xf>
    <xf numFmtId="0" fontId="68" fillId="0" borderId="20" xfId="0"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167" fontId="65" fillId="29" borderId="14" xfId="0" applyNumberFormat="1" applyFont="1" applyFill="1" applyBorder="1" applyAlignment="1">
      <alignment horizontal="center" vertical="center" wrapText="1"/>
    </xf>
    <xf numFmtId="167" fontId="65" fillId="29" borderId="20" xfId="0" applyNumberFormat="1" applyFont="1" applyFill="1" applyBorder="1" applyAlignment="1">
      <alignment horizontal="center" vertical="center" wrapText="1"/>
    </xf>
    <xf numFmtId="0" fontId="68" fillId="29" borderId="14" xfId="0" applyFont="1" applyFill="1" applyBorder="1" applyAlignment="1">
      <alignment horizontal="center" vertical="center" wrapText="1"/>
    </xf>
    <xf numFmtId="0" fontId="68" fillId="29" borderId="21" xfId="0" applyFont="1" applyFill="1" applyBorder="1" applyAlignment="1">
      <alignment horizontal="center" vertical="center" wrapText="1"/>
    </xf>
    <xf numFmtId="0" fontId="68" fillId="29" borderId="20"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5" fillId="0" borderId="18" xfId="0" applyFont="1" applyFill="1" applyBorder="1" applyAlignment="1">
      <alignment horizontal="center" vertical="center" wrapText="1"/>
    </xf>
    <xf numFmtId="0" fontId="65" fillId="0" borderId="16" xfId="0" applyFont="1" applyFill="1" applyBorder="1" applyAlignment="1">
      <alignment horizontal="center" vertical="center" wrapText="1"/>
    </xf>
    <xf numFmtId="0" fontId="65" fillId="0" borderId="24"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65" fillId="0" borderId="15" xfId="0" applyFont="1" applyFill="1" applyBorder="1" applyAlignment="1">
      <alignment horizontal="center" vertical="center" wrapText="1"/>
    </xf>
    <xf numFmtId="0" fontId="65" fillId="0" borderId="25" xfId="0" applyFont="1" applyFill="1" applyBorder="1" applyAlignment="1">
      <alignment horizontal="center" vertical="center" wrapText="1"/>
    </xf>
    <xf numFmtId="49" fontId="65" fillId="0" borderId="16" xfId="0" applyNumberFormat="1" applyFont="1" applyFill="1" applyBorder="1" applyAlignment="1">
      <alignment horizontal="right" vertical="center" wrapText="1"/>
    </xf>
    <xf numFmtId="49" fontId="65" fillId="0" borderId="0" xfId="0" applyNumberFormat="1" applyFont="1" applyFill="1" applyBorder="1" applyAlignment="1">
      <alignment horizontal="right" vertical="center" wrapText="1"/>
    </xf>
    <xf numFmtId="49" fontId="65" fillId="0" borderId="21" xfId="0" applyNumberFormat="1" applyFont="1" applyFill="1" applyBorder="1" applyAlignment="1">
      <alignment horizontal="center" vertical="center" wrapText="1"/>
    </xf>
    <xf numFmtId="0" fontId="65" fillId="0" borderId="0" xfId="0" applyFont="1" applyFill="1" applyBorder="1" applyAlignment="1">
      <alignment horizontal="justify" vertical="center" wrapText="1" shrinkToFit="1"/>
    </xf>
    <xf numFmtId="0" fontId="73" fillId="0" borderId="0" xfId="0" applyFont="1" applyFill="1" applyBorder="1" applyAlignment="1">
      <alignment horizontal="center" vertical="center"/>
    </xf>
    <xf numFmtId="3" fontId="5" fillId="0" borderId="14" xfId="0" applyNumberFormat="1" applyFont="1" applyFill="1" applyBorder="1" applyAlignment="1" applyProtection="1">
      <alignment horizontal="left" vertical="center" wrapText="1"/>
      <protection locked="0"/>
    </xf>
    <xf numFmtId="3" fontId="5" fillId="0" borderId="20" xfId="0" applyNumberFormat="1" applyFont="1" applyFill="1" applyBorder="1" applyAlignment="1" applyProtection="1">
      <alignment horizontal="left" vertical="center" wrapText="1"/>
      <protection locked="0"/>
    </xf>
    <xf numFmtId="0" fontId="70" fillId="0" borderId="0" xfId="0" applyFont="1" applyFill="1" applyBorder="1" applyAlignment="1">
      <alignment horizontal="center" vertical="center"/>
    </xf>
    <xf numFmtId="0" fontId="65" fillId="0" borderId="0" xfId="0" applyFont="1" applyFill="1" applyAlignment="1">
      <alignment horizontal="right" vertical="center"/>
    </xf>
    <xf numFmtId="3" fontId="109" fillId="0" borderId="14" xfId="0" applyNumberFormat="1" applyFont="1" applyFill="1" applyBorder="1" applyAlignment="1" applyProtection="1">
      <alignment horizontal="left" vertical="center" wrapText="1"/>
      <protection locked="0"/>
    </xf>
    <xf numFmtId="3" fontId="109" fillId="0" borderId="20" xfId="0" applyNumberFormat="1" applyFont="1" applyFill="1" applyBorder="1" applyAlignment="1" applyProtection="1">
      <alignment horizontal="left" vertical="center" wrapText="1"/>
      <protection locked="0"/>
    </xf>
    <xf numFmtId="3" fontId="109" fillId="0" borderId="14" xfId="0" applyNumberFormat="1" applyFont="1" applyFill="1" applyBorder="1" applyAlignment="1">
      <alignment horizontal="left" vertical="center" wrapText="1"/>
    </xf>
    <xf numFmtId="3" fontId="109" fillId="0" borderId="21" xfId="0" applyNumberFormat="1" applyFont="1" applyFill="1" applyBorder="1" applyAlignment="1">
      <alignment horizontal="left" vertical="center" wrapText="1"/>
    </xf>
    <xf numFmtId="3" fontId="109" fillId="0" borderId="20" xfId="0" applyNumberFormat="1" applyFont="1" applyFill="1" applyBorder="1" applyAlignment="1">
      <alignment horizontal="left" vertical="center" wrapText="1"/>
    </xf>
    <xf numFmtId="3" fontId="65" fillId="0" borderId="3" xfId="0" applyNumberFormat="1" applyFont="1" applyFill="1" applyBorder="1" applyAlignment="1">
      <alignment horizontal="left" vertical="center" wrapText="1"/>
    </xf>
    <xf numFmtId="3" fontId="109" fillId="29" borderId="3" xfId="0" applyNumberFormat="1" applyFont="1" applyFill="1" applyBorder="1" applyAlignment="1">
      <alignment horizontal="left" vertical="center" wrapText="1"/>
    </xf>
    <xf numFmtId="0" fontId="70" fillId="0" borderId="3" xfId="0" applyFont="1" applyFill="1" applyBorder="1" applyAlignment="1">
      <alignment horizontal="center" vertical="center" wrapText="1"/>
    </xf>
    <xf numFmtId="2" fontId="65" fillId="0" borderId="14" xfId="0" applyNumberFormat="1" applyFont="1" applyFill="1" applyBorder="1" applyAlignment="1">
      <alignment horizontal="center" vertical="center" wrapText="1"/>
    </xf>
    <xf numFmtId="2" fontId="65" fillId="0" borderId="21" xfId="0" applyNumberFormat="1" applyFont="1" applyFill="1" applyBorder="1" applyAlignment="1">
      <alignment horizontal="center" vertical="center" wrapText="1"/>
    </xf>
    <xf numFmtId="2" fontId="65" fillId="0" borderId="20" xfId="0" applyNumberFormat="1" applyFont="1" applyFill="1" applyBorder="1" applyAlignment="1">
      <alignment horizontal="center" vertical="center" wrapText="1"/>
    </xf>
    <xf numFmtId="0" fontId="65" fillId="0" borderId="15" xfId="0" applyFont="1" applyFill="1" applyBorder="1" applyAlignment="1">
      <alignment horizontal="right" vertical="center"/>
    </xf>
    <xf numFmtId="2" fontId="65" fillId="0" borderId="13" xfId="0" applyNumberFormat="1" applyFont="1" applyFill="1" applyBorder="1" applyAlignment="1">
      <alignment horizontal="center" vertical="center" wrapText="1"/>
    </xf>
    <xf numFmtId="2" fontId="65" fillId="0" borderId="22" xfId="0" applyNumberFormat="1" applyFont="1" applyFill="1" applyBorder="1" applyAlignment="1">
      <alignment horizontal="center" vertical="center" wrapText="1"/>
    </xf>
    <xf numFmtId="174"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shrinkToFit="1"/>
    </xf>
    <xf numFmtId="0" fontId="65" fillId="0" borderId="13" xfId="0" applyFont="1" applyFill="1" applyBorder="1" applyAlignment="1">
      <alignment horizontal="center" vertical="center" wrapText="1" shrinkToFit="1"/>
    </xf>
    <xf numFmtId="0" fontId="65" fillId="0" borderId="23" xfId="0" applyFont="1" applyFill="1" applyBorder="1" applyAlignment="1">
      <alignment horizontal="center" vertical="center" wrapText="1" shrinkToFit="1"/>
    </xf>
    <xf numFmtId="0" fontId="65" fillId="0" borderId="22" xfId="0" applyFont="1" applyFill="1" applyBorder="1" applyAlignment="1">
      <alignment horizontal="center" vertical="center" wrapText="1" shrinkToFit="1"/>
    </xf>
    <xf numFmtId="3" fontId="65" fillId="29" borderId="3" xfId="0" applyNumberFormat="1" applyFont="1" applyFill="1" applyBorder="1" applyAlignment="1">
      <alignment horizontal="left" vertical="center" wrapText="1"/>
    </xf>
    <xf numFmtId="0" fontId="65" fillId="0" borderId="14" xfId="0" applyFont="1" applyFill="1" applyBorder="1" applyAlignment="1">
      <alignment horizontal="left" vertical="center" wrapText="1" shrinkToFit="1"/>
    </xf>
    <xf numFmtId="0" fontId="65" fillId="0" borderId="21" xfId="0" applyFont="1" applyFill="1" applyBorder="1" applyAlignment="1">
      <alignment horizontal="left" vertical="center" wrapText="1" shrinkToFit="1"/>
    </xf>
    <xf numFmtId="0" fontId="65" fillId="0" borderId="20" xfId="0" applyFont="1" applyFill="1" applyBorder="1" applyAlignment="1">
      <alignment horizontal="left" vertical="center" wrapText="1" shrinkToFit="1"/>
    </xf>
    <xf numFmtId="0" fontId="70" fillId="0" borderId="18" xfId="0" applyFont="1" applyFill="1" applyBorder="1" applyAlignment="1">
      <alignment horizontal="center" vertical="center" wrapText="1"/>
    </xf>
    <xf numFmtId="0" fontId="70" fillId="0" borderId="16" xfId="0" applyFont="1" applyFill="1" applyBorder="1" applyAlignment="1">
      <alignment horizontal="center" vertical="center" wrapText="1"/>
    </xf>
    <xf numFmtId="0" fontId="70" fillId="0" borderId="24" xfId="0" applyFont="1" applyFill="1" applyBorder="1" applyAlignment="1">
      <alignment horizontal="center" vertical="center" wrapText="1"/>
    </xf>
    <xf numFmtId="0" fontId="70" fillId="0" borderId="26" xfId="0" applyFont="1" applyFill="1" applyBorder="1" applyAlignment="1">
      <alignment horizontal="center" vertical="center" wrapText="1"/>
    </xf>
    <xf numFmtId="0" fontId="70" fillId="0" borderId="0" xfId="0" applyFont="1" applyFill="1" applyBorder="1" applyAlignment="1">
      <alignment horizontal="center" vertical="center" wrapText="1"/>
    </xf>
    <xf numFmtId="0" fontId="70" fillId="0" borderId="27" xfId="0" applyFont="1" applyFill="1" applyBorder="1" applyAlignment="1">
      <alignment horizontal="center" vertical="center" wrapText="1"/>
    </xf>
    <xf numFmtId="0" fontId="70" fillId="0" borderId="19" xfId="0" applyFont="1" applyFill="1" applyBorder="1" applyAlignment="1">
      <alignment horizontal="center" vertical="center" wrapText="1"/>
    </xf>
    <xf numFmtId="0" fontId="70" fillId="0" borderId="15" xfId="0" applyFont="1" applyFill="1" applyBorder="1" applyAlignment="1">
      <alignment horizontal="center" vertical="center" wrapText="1"/>
    </xf>
    <xf numFmtId="0" fontId="70" fillId="0" borderId="25" xfId="0" applyFont="1" applyFill="1" applyBorder="1" applyAlignment="1">
      <alignment horizontal="center" vertical="center" wrapText="1"/>
    </xf>
    <xf numFmtId="0" fontId="70" fillId="0" borderId="3" xfId="0" applyFont="1" applyFill="1" applyBorder="1" applyAlignment="1">
      <alignment horizontal="center" vertical="center"/>
    </xf>
    <xf numFmtId="3" fontId="65" fillId="0" borderId="14" xfId="0" applyNumberFormat="1" applyFont="1" applyFill="1" applyBorder="1" applyAlignment="1">
      <alignment horizontal="center" vertical="center" wrapText="1" shrinkToFit="1"/>
    </xf>
    <xf numFmtId="3" fontId="65" fillId="0" borderId="20" xfId="0" applyNumberFormat="1" applyFont="1" applyFill="1" applyBorder="1" applyAlignment="1">
      <alignment horizontal="center" vertical="center" wrapText="1" shrinkToFit="1"/>
    </xf>
    <xf numFmtId="0" fontId="70" fillId="0" borderId="14" xfId="0" applyFont="1" applyFill="1" applyBorder="1" applyAlignment="1">
      <alignment horizontal="center" vertical="center" wrapText="1"/>
    </xf>
    <xf numFmtId="0" fontId="70" fillId="0" borderId="21" xfId="0" applyFont="1" applyFill="1" applyBorder="1" applyAlignment="1">
      <alignment horizontal="center" vertical="center" wrapText="1"/>
    </xf>
    <xf numFmtId="0" fontId="70" fillId="0" borderId="20" xfId="0" applyFont="1" applyFill="1" applyBorder="1" applyAlignment="1">
      <alignment horizontal="center" vertical="center" wrapText="1"/>
    </xf>
    <xf numFmtId="0" fontId="65" fillId="0" borderId="14" xfId="0" applyFont="1" applyFill="1" applyBorder="1" applyAlignment="1">
      <alignment horizontal="center" vertical="center" wrapText="1" shrinkToFit="1"/>
    </xf>
    <xf numFmtId="0" fontId="65" fillId="0" borderId="20" xfId="0" applyFont="1" applyFill="1" applyBorder="1" applyAlignment="1">
      <alignment horizontal="center" vertical="center" wrapText="1" shrinkToFit="1"/>
    </xf>
    <xf numFmtId="0" fontId="70" fillId="0" borderId="18" xfId="0" applyFont="1" applyFill="1" applyBorder="1" applyAlignment="1">
      <alignment horizontal="center" vertical="center" wrapText="1" shrinkToFit="1"/>
    </xf>
    <xf numFmtId="0" fontId="70" fillId="0" borderId="24" xfId="0" applyFont="1" applyFill="1" applyBorder="1" applyAlignment="1">
      <alignment horizontal="center" vertical="center" wrapText="1" shrinkToFit="1"/>
    </xf>
    <xf numFmtId="0" fontId="70" fillId="0" borderId="19" xfId="0" applyFont="1" applyFill="1" applyBorder="1" applyAlignment="1">
      <alignment horizontal="center" vertical="center" wrapText="1" shrinkToFit="1"/>
    </xf>
    <xf numFmtId="0" fontId="70" fillId="0" borderId="25" xfId="0" applyFont="1" applyFill="1" applyBorder="1" applyAlignment="1">
      <alignment horizontal="center" vertical="center" wrapText="1" shrinkToFit="1"/>
    </xf>
    <xf numFmtId="0" fontId="65" fillId="0" borderId="14" xfId="0" applyNumberFormat="1" applyFont="1" applyFill="1" applyBorder="1" applyAlignment="1">
      <alignment horizontal="center" vertical="center" wrapText="1" shrinkToFit="1"/>
    </xf>
    <xf numFmtId="0" fontId="65" fillId="0" borderId="20" xfId="0" applyNumberFormat="1" applyFont="1" applyFill="1" applyBorder="1" applyAlignment="1">
      <alignment horizontal="center" vertical="center" wrapText="1" shrinkToFit="1"/>
    </xf>
    <xf numFmtId="0" fontId="70" fillId="0" borderId="14" xfId="0" applyFont="1" applyFill="1" applyBorder="1" applyAlignment="1">
      <alignment horizontal="center" vertical="center"/>
    </xf>
    <xf numFmtId="0" fontId="70" fillId="0" borderId="21" xfId="0" applyFont="1" applyFill="1" applyBorder="1" applyAlignment="1">
      <alignment horizontal="center" vertical="center"/>
    </xf>
    <xf numFmtId="0" fontId="70" fillId="0" borderId="20" xfId="0" applyFont="1" applyFill="1" applyBorder="1" applyAlignment="1">
      <alignment horizontal="center" vertical="center"/>
    </xf>
    <xf numFmtId="0" fontId="70" fillId="0" borderId="26" xfId="0" applyFont="1" applyFill="1" applyBorder="1" applyAlignment="1">
      <alignment horizontal="center" vertical="center" wrapText="1" shrinkToFit="1"/>
    </xf>
    <xf numFmtId="0" fontId="70" fillId="0" borderId="27" xfId="0" applyFont="1" applyFill="1" applyBorder="1" applyAlignment="1">
      <alignment horizontal="center" vertical="center" wrapText="1" shrinkToFit="1"/>
    </xf>
    <xf numFmtId="0" fontId="70" fillId="0" borderId="16" xfId="0" applyFont="1" applyFill="1" applyBorder="1" applyAlignment="1">
      <alignment horizontal="center" vertical="center" wrapText="1" shrinkToFit="1"/>
    </xf>
    <xf numFmtId="0" fontId="70" fillId="0" borderId="0" xfId="0" applyFont="1" applyFill="1" applyBorder="1" applyAlignment="1">
      <alignment horizontal="center" vertical="center" wrapText="1" shrinkToFit="1"/>
    </xf>
    <xf numFmtId="0" fontId="70" fillId="0" borderId="15" xfId="0" applyFont="1" applyFill="1" applyBorder="1" applyAlignment="1">
      <alignment horizontal="center" vertical="center" wrapText="1" shrinkToFit="1"/>
    </xf>
    <xf numFmtId="49" fontId="5" fillId="29" borderId="14" xfId="0" applyNumberFormat="1" applyFont="1" applyFill="1" applyBorder="1" applyAlignment="1" applyProtection="1">
      <alignment horizontal="left" vertical="center" wrapText="1"/>
      <protection locked="0"/>
    </xf>
    <xf numFmtId="49" fontId="5" fillId="29" borderId="21" xfId="0" applyNumberFormat="1" applyFont="1" applyFill="1" applyBorder="1" applyAlignment="1" applyProtection="1">
      <alignment horizontal="left" vertical="center" wrapText="1"/>
      <protection locked="0"/>
    </xf>
    <xf numFmtId="49" fontId="5" fillId="29" borderId="20" xfId="0" applyNumberFormat="1" applyFont="1" applyFill="1" applyBorder="1" applyAlignment="1" applyProtection="1">
      <alignment horizontal="left" vertical="center" wrapText="1"/>
      <protection locked="0"/>
    </xf>
    <xf numFmtId="0" fontId="65" fillId="0" borderId="14" xfId="0" applyNumberFormat="1" applyFont="1" applyFill="1" applyBorder="1" applyAlignment="1">
      <alignment horizontal="left" vertical="center" wrapText="1" shrinkToFit="1"/>
    </xf>
    <xf numFmtId="0" fontId="65" fillId="0" borderId="21" xfId="0" applyNumberFormat="1" applyFont="1" applyFill="1" applyBorder="1" applyAlignment="1">
      <alignment horizontal="left" vertical="center" wrapText="1" shrinkToFit="1"/>
    </xf>
    <xf numFmtId="0" fontId="65" fillId="0" borderId="20" xfId="0" applyNumberFormat="1" applyFont="1" applyFill="1" applyBorder="1" applyAlignment="1">
      <alignment horizontal="left" vertical="center" wrapText="1" shrinkToFit="1"/>
    </xf>
    <xf numFmtId="3" fontId="65" fillId="0" borderId="21" xfId="0" applyNumberFormat="1" applyFont="1" applyFill="1" applyBorder="1" applyAlignment="1">
      <alignment horizontal="center" vertical="center" wrapText="1" shrinkToFit="1"/>
    </xf>
    <xf numFmtId="0" fontId="65" fillId="0" borderId="26" xfId="0" applyFont="1" applyFill="1" applyBorder="1" applyAlignment="1">
      <alignment horizontal="center" vertical="center" wrapText="1"/>
    </xf>
    <xf numFmtId="0" fontId="65" fillId="0" borderId="27" xfId="0" applyFont="1" applyFill="1" applyBorder="1" applyAlignment="1">
      <alignment horizontal="center" vertical="center" wrapText="1"/>
    </xf>
    <xf numFmtId="49" fontId="109" fillId="29" borderId="14" xfId="0" applyNumberFormat="1" applyFont="1" applyFill="1" applyBorder="1" applyAlignment="1" applyProtection="1">
      <alignment horizontal="left" vertical="center" wrapText="1"/>
      <protection locked="0"/>
    </xf>
    <xf numFmtId="49" fontId="109" fillId="29" borderId="21" xfId="0" applyNumberFormat="1" applyFont="1" applyFill="1" applyBorder="1" applyAlignment="1" applyProtection="1">
      <alignment horizontal="left" vertical="center" wrapText="1"/>
      <protection locked="0"/>
    </xf>
    <xf numFmtId="49" fontId="109" fillId="29" borderId="20" xfId="0" applyNumberFormat="1" applyFont="1" applyFill="1" applyBorder="1" applyAlignment="1" applyProtection="1">
      <alignment horizontal="left" vertical="center" wrapText="1"/>
      <protection locked="0"/>
    </xf>
    <xf numFmtId="0" fontId="65" fillId="0" borderId="3" xfId="0" applyFont="1" applyFill="1" applyBorder="1" applyAlignment="1">
      <alignment horizontal="center" vertical="center" wrapText="1" shrinkToFit="1"/>
    </xf>
    <xf numFmtId="0" fontId="65" fillId="0" borderId="14" xfId="0" applyFont="1" applyFill="1" applyBorder="1" applyAlignment="1">
      <alignment horizontal="left"/>
    </xf>
    <xf numFmtId="0" fontId="65" fillId="0" borderId="21" xfId="0" applyFont="1" applyFill="1" applyBorder="1" applyAlignment="1">
      <alignment horizontal="left"/>
    </xf>
    <xf numFmtId="0" fontId="65" fillId="0" borderId="20" xfId="0" applyFont="1" applyFill="1" applyBorder="1" applyAlignment="1">
      <alignment horizontal="left"/>
    </xf>
    <xf numFmtId="3" fontId="85" fillId="0" borderId="14" xfId="0" applyNumberFormat="1" applyFont="1" applyFill="1" applyBorder="1" applyAlignment="1" applyProtection="1">
      <alignment horizontal="left" vertical="center" wrapText="1"/>
      <protection locked="0"/>
    </xf>
    <xf numFmtId="3" fontId="85" fillId="0" borderId="20" xfId="0" applyNumberFormat="1" applyFont="1" applyFill="1" applyBorder="1" applyAlignment="1" applyProtection="1">
      <alignment horizontal="left" vertical="center" wrapText="1"/>
      <protection locked="0"/>
    </xf>
    <xf numFmtId="0" fontId="5" fillId="0" borderId="18"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5" xfId="0" applyFont="1" applyFill="1" applyBorder="1" applyAlignment="1">
      <alignment horizontal="center" vertical="center" wrapText="1"/>
    </xf>
    <xf numFmtId="3" fontId="102" fillId="0" borderId="14" xfId="0" applyNumberFormat="1" applyFont="1" applyFill="1" applyBorder="1" applyAlignment="1" applyProtection="1">
      <alignment horizontal="left" vertical="center" wrapText="1"/>
      <protection locked="0"/>
    </xf>
    <xf numFmtId="3" fontId="102" fillId="0" borderId="20" xfId="0" applyNumberFormat="1" applyFont="1" applyFill="1" applyBorder="1" applyAlignment="1" applyProtection="1">
      <alignment horizontal="left" vertical="center" wrapText="1"/>
      <protection locked="0"/>
    </xf>
    <xf numFmtId="49" fontId="109" fillId="0" borderId="14" xfId="0" applyNumberFormat="1" applyFont="1" applyFill="1" applyBorder="1" applyAlignment="1" applyProtection="1">
      <alignment horizontal="left" vertical="center" wrapText="1"/>
      <protection locked="0"/>
    </xf>
    <xf numFmtId="49" fontId="109" fillId="0" borderId="21" xfId="0" applyNumberFormat="1" applyFont="1" applyFill="1" applyBorder="1" applyAlignment="1" applyProtection="1">
      <alignment horizontal="left" vertical="center" wrapText="1"/>
      <protection locked="0"/>
    </xf>
    <xf numFmtId="49" fontId="109" fillId="0" borderId="20" xfId="0" applyNumberFormat="1" applyFont="1" applyFill="1" applyBorder="1" applyAlignment="1" applyProtection="1">
      <alignment horizontal="left" vertical="center" wrapText="1"/>
      <protection locked="0"/>
    </xf>
    <xf numFmtId="0" fontId="73" fillId="0" borderId="3" xfId="0" applyFont="1" applyFill="1" applyBorder="1" applyAlignment="1">
      <alignment horizontal="center" vertical="center" wrapText="1"/>
    </xf>
    <xf numFmtId="0" fontId="88" fillId="0" borderId="0" xfId="285" applyFont="1" applyAlignment="1">
      <alignment horizontal="left"/>
    </xf>
    <xf numFmtId="0" fontId="90" fillId="0" borderId="0" xfId="285" applyFont="1" applyAlignment="1">
      <alignment horizontal="left"/>
    </xf>
    <xf numFmtId="0" fontId="9" fillId="0" borderId="0" xfId="0" applyFont="1" applyAlignment="1"/>
    <xf numFmtId="0" fontId="86" fillId="0" borderId="0" xfId="285" applyFont="1" applyBorder="1" applyAlignment="1">
      <alignment horizontal="left"/>
    </xf>
    <xf numFmtId="0" fontId="0" fillId="0" borderId="0" xfId="0" applyAlignment="1"/>
    <xf numFmtId="0" fontId="86" fillId="22" borderId="0" xfId="285" applyFont="1" applyFill="1" applyBorder="1" applyAlignment="1">
      <alignment horizontal="left"/>
    </xf>
    <xf numFmtId="0" fontId="2" fillId="22" borderId="0" xfId="0" applyFont="1" applyFill="1" applyAlignment="1"/>
    <xf numFmtId="0" fontId="2" fillId="0" borderId="0" xfId="0" applyFont="1" applyAlignment="1"/>
    <xf numFmtId="0" fontId="86" fillId="0" borderId="0" xfId="285" applyFont="1" applyAlignment="1">
      <alignment horizontal="left"/>
    </xf>
    <xf numFmtId="0" fontId="93" fillId="0" borderId="0" xfId="285" applyFont="1" applyBorder="1" applyAlignment="1">
      <alignment horizontal="left"/>
    </xf>
    <xf numFmtId="0" fontId="94" fillId="0" borderId="0" xfId="0" applyFont="1" applyAlignment="1"/>
    <xf numFmtId="0" fontId="93" fillId="0" borderId="0" xfId="285" applyFont="1" applyAlignment="1">
      <alignment horizontal="left"/>
    </xf>
    <xf numFmtId="0" fontId="93" fillId="0" borderId="0" xfId="285" applyFont="1" applyAlignment="1">
      <alignment horizontal="center"/>
    </xf>
    <xf numFmtId="0" fontId="0" fillId="0" borderId="0" xfId="0" applyAlignment="1">
      <alignment horizontal="left"/>
    </xf>
    <xf numFmtId="0" fontId="86" fillId="0" borderId="0" xfId="285" applyFont="1" applyBorder="1" applyAlignment="1">
      <alignment horizontal="center"/>
    </xf>
    <xf numFmtId="0" fontId="96" fillId="0" borderId="0" xfId="285" applyFont="1" applyFill="1" applyAlignment="1">
      <alignment horizontal="center"/>
    </xf>
    <xf numFmtId="0" fontId="96" fillId="0" borderId="0" xfId="285" applyFont="1" applyFill="1" applyAlignment="1">
      <alignment horizontal="center" wrapText="1"/>
    </xf>
    <xf numFmtId="0" fontId="90" fillId="0" borderId="15" xfId="285" applyFont="1" applyFill="1" applyBorder="1" applyAlignment="1">
      <alignment horizontal="center" vertical="top"/>
    </xf>
    <xf numFmtId="0" fontId="0" fillId="0" borderId="15" xfId="0" applyBorder="1" applyAlignment="1">
      <alignment vertical="top"/>
    </xf>
    <xf numFmtId="0" fontId="97" fillId="0" borderId="13" xfId="285" applyFont="1" applyFill="1" applyBorder="1" applyAlignment="1">
      <alignment horizontal="center" vertical="center" wrapText="1"/>
    </xf>
    <xf numFmtId="0" fontId="0" fillId="0" borderId="22" xfId="0" applyBorder="1" applyAlignment="1">
      <alignment horizontal="center" vertical="center"/>
    </xf>
    <xf numFmtId="0" fontId="97" fillId="0" borderId="18" xfId="285" applyFont="1" applyFill="1" applyBorder="1" applyAlignment="1">
      <alignment horizontal="center" vertical="center" wrapText="1"/>
    </xf>
    <xf numFmtId="0" fontId="0" fillId="0" borderId="24" xfId="0" applyBorder="1" applyAlignment="1">
      <alignment vertical="center"/>
    </xf>
    <xf numFmtId="0" fontId="0" fillId="0" borderId="19" xfId="0" applyBorder="1" applyAlignment="1">
      <alignment vertical="center"/>
    </xf>
    <xf numFmtId="0" fontId="0" fillId="0" borderId="25" xfId="0" applyBorder="1" applyAlignment="1">
      <alignment vertical="center"/>
    </xf>
    <xf numFmtId="0" fontId="98" fillId="0" borderId="13" xfId="285" applyFont="1" applyFill="1" applyBorder="1" applyAlignment="1">
      <alignment horizontal="center" vertical="center" wrapText="1"/>
    </xf>
    <xf numFmtId="0" fontId="1" fillId="0" borderId="22" xfId="0" applyFont="1" applyBorder="1" applyAlignment="1">
      <alignment horizontal="center" vertical="center"/>
    </xf>
    <xf numFmtId="0" fontId="97" fillId="0" borderId="14" xfId="285" applyFont="1" applyFill="1" applyBorder="1" applyAlignment="1">
      <alignment horizontal="center"/>
    </xf>
    <xf numFmtId="0" fontId="97" fillId="0" borderId="21" xfId="285" applyFont="1" applyFill="1" applyBorder="1" applyAlignment="1">
      <alignment horizontal="center"/>
    </xf>
    <xf numFmtId="0" fontId="97" fillId="0" borderId="20" xfId="285" applyFont="1" applyFill="1" applyBorder="1" applyAlignment="1">
      <alignment horizontal="center"/>
    </xf>
    <xf numFmtId="0" fontId="97" fillId="0" borderId="14" xfId="285" applyFont="1" applyFill="1" applyBorder="1" applyAlignment="1">
      <alignment horizontal="center" vertical="center" wrapText="1"/>
    </xf>
    <xf numFmtId="0" fontId="97" fillId="0" borderId="20" xfId="285" applyFont="1" applyFill="1" applyBorder="1" applyAlignment="1">
      <alignment horizontal="center" vertical="center" wrapText="1"/>
    </xf>
    <xf numFmtId="0" fontId="5" fillId="0" borderId="14" xfId="285" applyFont="1" applyBorder="1" applyAlignment="1">
      <alignment horizontal="left" wrapText="1"/>
    </xf>
    <xf numFmtId="0" fontId="5" fillId="0" borderId="20" xfId="285" applyFont="1" applyBorder="1" applyAlignment="1">
      <alignment horizontal="left" wrapText="1"/>
    </xf>
    <xf numFmtId="0" fontId="86" fillId="0" borderId="14" xfId="285" applyNumberFormat="1" applyFont="1" applyFill="1" applyBorder="1" applyAlignment="1">
      <alignment horizontal="center" vertical="center" wrapText="1"/>
    </xf>
    <xf numFmtId="0" fontId="86" fillId="0" borderId="20" xfId="285" applyNumberFormat="1" applyFont="1" applyFill="1" applyBorder="1" applyAlignment="1">
      <alignment horizontal="center" vertical="center" wrapText="1"/>
    </xf>
    <xf numFmtId="0" fontId="86" fillId="0" borderId="14" xfId="285" applyNumberFormat="1" applyFont="1" applyFill="1" applyBorder="1" applyAlignment="1">
      <alignment horizontal="center" wrapText="1"/>
    </xf>
    <xf numFmtId="0" fontId="86" fillId="0" borderId="20" xfId="285" applyNumberFormat="1" applyFont="1" applyFill="1" applyBorder="1" applyAlignment="1">
      <alignment horizontal="center" wrapText="1"/>
    </xf>
    <xf numFmtId="0" fontId="4" fillId="0" borderId="14" xfId="285" applyFont="1" applyBorder="1" applyAlignment="1">
      <alignment horizontal="center" wrapText="1"/>
    </xf>
    <xf numFmtId="0" fontId="4" fillId="0" borderId="21" xfId="285" applyFont="1" applyBorder="1" applyAlignment="1">
      <alignment horizontal="center" wrapText="1"/>
    </xf>
    <xf numFmtId="0" fontId="4" fillId="0" borderId="20" xfId="285" applyFont="1" applyBorder="1" applyAlignment="1">
      <alignment horizontal="center" wrapText="1"/>
    </xf>
    <xf numFmtId="0" fontId="5" fillId="29" borderId="14" xfId="285" applyFont="1" applyFill="1" applyBorder="1" applyAlignment="1">
      <alignment horizontal="left" wrapText="1"/>
    </xf>
    <xf numFmtId="0" fontId="5" fillId="29" borderId="20" xfId="285" applyFont="1" applyFill="1" applyBorder="1" applyAlignment="1">
      <alignment horizontal="left" wrapText="1"/>
    </xf>
    <xf numFmtId="0" fontId="86" fillId="29" borderId="14" xfId="285" applyNumberFormat="1" applyFont="1" applyFill="1" applyBorder="1" applyAlignment="1">
      <alignment horizontal="center" wrapText="1"/>
    </xf>
    <xf numFmtId="0" fontId="86" fillId="29" borderId="20" xfId="285" applyNumberFormat="1" applyFont="1" applyFill="1" applyBorder="1" applyAlignment="1">
      <alignment horizontal="center" wrapText="1"/>
    </xf>
    <xf numFmtId="0" fontId="0" fillId="29" borderId="20" xfId="0" applyFont="1" applyFill="1" applyBorder="1" applyAlignment="1">
      <alignment horizontal="center" wrapText="1"/>
    </xf>
    <xf numFmtId="0" fontId="101" fillId="0" borderId="28" xfId="285" applyFont="1" applyBorder="1" applyAlignment="1">
      <alignment horizontal="left" wrapText="1"/>
    </xf>
    <xf numFmtId="0" fontId="101" fillId="0" borderId="29" xfId="285" applyFont="1" applyBorder="1" applyAlignment="1">
      <alignment horizontal="left" wrapText="1"/>
    </xf>
    <xf numFmtId="0" fontId="86" fillId="0" borderId="17" xfId="285" applyNumberFormat="1" applyFont="1" applyFill="1" applyBorder="1" applyAlignment="1">
      <alignment horizontal="center" wrapText="1"/>
    </xf>
    <xf numFmtId="0" fontId="116" fillId="29" borderId="3" xfId="245" applyFont="1" applyFill="1" applyBorder="1" applyAlignment="1">
      <alignment horizontal="left" vertical="center" wrapText="1"/>
    </xf>
    <xf numFmtId="3" fontId="117" fillId="29" borderId="0" xfId="0" quotePrefix="1" applyNumberFormat="1" applyFont="1" applyFill="1" applyBorder="1" applyAlignment="1">
      <alignment horizontal="center" vertical="center"/>
    </xf>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Обычный_Dod5kochtor" xfId="285"/>
    <cellStyle name="Плохой 2" xfId="286"/>
    <cellStyle name="Плохой 3" xfId="287"/>
    <cellStyle name="Пояснение 2" xfId="288"/>
    <cellStyle name="Пояснение 3" xfId="289"/>
    <cellStyle name="Примечание 2" xfId="290"/>
    <cellStyle name="Примечание 3" xfId="291"/>
    <cellStyle name="Процентный 2" xfId="292"/>
    <cellStyle name="Процентный 2 10" xfId="293"/>
    <cellStyle name="Процентный 2 11" xfId="294"/>
    <cellStyle name="Процентный 2 12" xfId="295"/>
    <cellStyle name="Процентный 2 13" xfId="296"/>
    <cellStyle name="Процентный 2 14" xfId="297"/>
    <cellStyle name="Процентный 2 15" xfId="298"/>
    <cellStyle name="Процентный 2 16" xfId="299"/>
    <cellStyle name="Процентный 2 2" xfId="300"/>
    <cellStyle name="Процентный 2 3" xfId="301"/>
    <cellStyle name="Процентный 2 4" xfId="302"/>
    <cellStyle name="Процентный 2 5" xfId="303"/>
    <cellStyle name="Процентный 2 6" xfId="304"/>
    <cellStyle name="Процентный 2 7" xfId="305"/>
    <cellStyle name="Процентный 2 8" xfId="306"/>
    <cellStyle name="Процентный 2 9" xfId="307"/>
    <cellStyle name="Процентный 3" xfId="308"/>
    <cellStyle name="Процентный 4" xfId="309"/>
    <cellStyle name="Процентный 4 2" xfId="310"/>
    <cellStyle name="Связанная ячейка 2" xfId="311"/>
    <cellStyle name="Связанная ячейка 3" xfId="312"/>
    <cellStyle name="Стиль 1" xfId="313"/>
    <cellStyle name="Стиль 1 2" xfId="314"/>
    <cellStyle name="Стиль 1 3" xfId="315"/>
    <cellStyle name="Стиль 1 4" xfId="316"/>
    <cellStyle name="Стиль 1 5" xfId="317"/>
    <cellStyle name="Стиль 1 6" xfId="318"/>
    <cellStyle name="Стиль 1 7" xfId="319"/>
    <cellStyle name="Текст предупреждения 2" xfId="320"/>
    <cellStyle name="Текст предупреждения 3" xfId="321"/>
    <cellStyle name="Тысячи [0]_1.62" xfId="322"/>
    <cellStyle name="Тысячи_1.62" xfId="323"/>
    <cellStyle name="Финансовый 2" xfId="324"/>
    <cellStyle name="Финансовый 2 10" xfId="325"/>
    <cellStyle name="Финансовый 2 11" xfId="326"/>
    <cellStyle name="Финансовый 2 12" xfId="327"/>
    <cellStyle name="Финансовый 2 13" xfId="328"/>
    <cellStyle name="Финансовый 2 14" xfId="329"/>
    <cellStyle name="Финансовый 2 15" xfId="330"/>
    <cellStyle name="Финансовый 2 16" xfId="331"/>
    <cellStyle name="Финансовый 2 17" xfId="332"/>
    <cellStyle name="Финансовый 2 2" xfId="333"/>
    <cellStyle name="Финансовый 2 3" xfId="334"/>
    <cellStyle name="Финансовый 2 4" xfId="335"/>
    <cellStyle name="Финансовый 2 5" xfId="336"/>
    <cellStyle name="Финансовый 2 6" xfId="337"/>
    <cellStyle name="Финансовый 2 7" xfId="338"/>
    <cellStyle name="Финансовый 2 8" xfId="339"/>
    <cellStyle name="Финансовый 2 9" xfId="340"/>
    <cellStyle name="Финансовый 3" xfId="341"/>
    <cellStyle name="Финансовый 3 2" xfId="342"/>
    <cellStyle name="Финансовый 4" xfId="343"/>
    <cellStyle name="Финансовый 4 2" xfId="344"/>
    <cellStyle name="Финансовый 4 3" xfId="345"/>
    <cellStyle name="Финансовый 5" xfId="346"/>
    <cellStyle name="Финансовый 6" xfId="347"/>
    <cellStyle name="Финансовый 7" xfId="348"/>
    <cellStyle name="Хороший 2" xfId="349"/>
    <cellStyle name="Хороший 3" xfId="350"/>
    <cellStyle name="числовой" xfId="351"/>
    <cellStyle name="Ю" xfId="352"/>
    <cellStyle name="Ю-FreeSet_10" xfId="3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41" Type="http://schemas.openxmlformats.org/officeDocument/2006/relationships/externalLink" Target="externalLinks/externalLink3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0</xdr:col>
      <xdr:colOff>1352550</xdr:colOff>
      <xdr:row>75</xdr:row>
      <xdr:rowOff>0</xdr:rowOff>
    </xdr:from>
    <xdr:to>
      <xdr:col>0</xdr:col>
      <xdr:colOff>4743450</xdr:colOff>
      <xdr:row>75</xdr:row>
      <xdr:rowOff>0</xdr:rowOff>
    </xdr:to>
    <xdr:sp macro="" textlink="">
      <xdr:nvSpPr>
        <xdr:cNvPr id="23773" name="Line 1"/>
        <xdr:cNvSpPr>
          <a:spLocks noChangeShapeType="1"/>
        </xdr:cNvSpPr>
      </xdr:nvSpPr>
      <xdr:spPr bwMode="auto">
        <a:xfrm>
          <a:off x="1352550" y="28432125"/>
          <a:ext cx="3390900" cy="0"/>
        </a:xfrm>
        <a:prstGeom prst="line">
          <a:avLst/>
        </a:prstGeom>
        <a:noFill/>
        <a:ln w="9525">
          <a:solidFill>
            <a:srgbClr val="000000"/>
          </a:solidFill>
          <a:round/>
          <a:headEnd/>
          <a:tailEnd/>
        </a:ln>
      </xdr:spPr>
    </xdr:sp>
    <xdr:clientData/>
  </xdr:twoCellAnchor>
  <xdr:twoCellAnchor>
    <xdr:from>
      <xdr:col>2</xdr:col>
      <xdr:colOff>114300</xdr:colOff>
      <xdr:row>75</xdr:row>
      <xdr:rowOff>0</xdr:rowOff>
    </xdr:from>
    <xdr:to>
      <xdr:col>3</xdr:col>
      <xdr:colOff>1619250</xdr:colOff>
      <xdr:row>75</xdr:row>
      <xdr:rowOff>0</xdr:rowOff>
    </xdr:to>
    <xdr:sp macro="" textlink="">
      <xdr:nvSpPr>
        <xdr:cNvPr id="23774" name="Line 2"/>
        <xdr:cNvSpPr>
          <a:spLocks noChangeShapeType="1"/>
        </xdr:cNvSpPr>
      </xdr:nvSpPr>
      <xdr:spPr bwMode="auto">
        <a:xfrm>
          <a:off x="6096000" y="28432125"/>
          <a:ext cx="3190875" cy="0"/>
        </a:xfrm>
        <a:prstGeom prst="line">
          <a:avLst/>
        </a:prstGeom>
        <a:noFill/>
        <a:ln w="9525">
          <a:solidFill>
            <a:srgbClr val="000000"/>
          </a:solidFill>
          <a:round/>
          <a:headEnd/>
          <a:tailEnd/>
        </a:ln>
      </xdr:spPr>
    </xdr:sp>
    <xdr:clientData/>
  </xdr:twoCellAnchor>
  <xdr:twoCellAnchor>
    <xdr:from>
      <xdr:col>5</xdr:col>
      <xdr:colOff>0</xdr:colOff>
      <xdr:row>75</xdr:row>
      <xdr:rowOff>0</xdr:rowOff>
    </xdr:from>
    <xdr:to>
      <xdr:col>6</xdr:col>
      <xdr:colOff>1447800</xdr:colOff>
      <xdr:row>75</xdr:row>
      <xdr:rowOff>0</xdr:rowOff>
    </xdr:to>
    <xdr:sp macro="" textlink="">
      <xdr:nvSpPr>
        <xdr:cNvPr id="23775" name="Line 3"/>
        <xdr:cNvSpPr>
          <a:spLocks noChangeShapeType="1"/>
        </xdr:cNvSpPr>
      </xdr:nvSpPr>
      <xdr:spPr bwMode="auto">
        <a:xfrm>
          <a:off x="10915650" y="28432125"/>
          <a:ext cx="303847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1295400</xdr:colOff>
      <xdr:row>147</xdr:row>
      <xdr:rowOff>0</xdr:rowOff>
    </xdr:from>
    <xdr:to>
      <xdr:col>0</xdr:col>
      <xdr:colOff>4972050</xdr:colOff>
      <xdr:row>147</xdr:row>
      <xdr:rowOff>0</xdr:rowOff>
    </xdr:to>
    <xdr:sp macro="" textlink="">
      <xdr:nvSpPr>
        <xdr:cNvPr id="24797" name="Line 1"/>
        <xdr:cNvSpPr>
          <a:spLocks noChangeShapeType="1"/>
        </xdr:cNvSpPr>
      </xdr:nvSpPr>
      <xdr:spPr bwMode="auto">
        <a:xfrm>
          <a:off x="1295400" y="57226200"/>
          <a:ext cx="3676650" cy="0"/>
        </a:xfrm>
        <a:prstGeom prst="line">
          <a:avLst/>
        </a:prstGeom>
        <a:noFill/>
        <a:ln w="9525">
          <a:solidFill>
            <a:srgbClr val="000000"/>
          </a:solidFill>
          <a:round/>
          <a:headEnd/>
          <a:tailEnd/>
        </a:ln>
      </xdr:spPr>
    </xdr:sp>
    <xdr:clientData/>
  </xdr:twoCellAnchor>
  <xdr:twoCellAnchor>
    <xdr:from>
      <xdr:col>1</xdr:col>
      <xdr:colOff>781050</xdr:colOff>
      <xdr:row>147</xdr:row>
      <xdr:rowOff>0</xdr:rowOff>
    </xdr:from>
    <xdr:to>
      <xdr:col>4</xdr:col>
      <xdr:colOff>552450</xdr:colOff>
      <xdr:row>147</xdr:row>
      <xdr:rowOff>0</xdr:rowOff>
    </xdr:to>
    <xdr:sp macro="" textlink="">
      <xdr:nvSpPr>
        <xdr:cNvPr id="24798" name="Line 2"/>
        <xdr:cNvSpPr>
          <a:spLocks noChangeShapeType="1"/>
        </xdr:cNvSpPr>
      </xdr:nvSpPr>
      <xdr:spPr bwMode="auto">
        <a:xfrm>
          <a:off x="5810250" y="57226200"/>
          <a:ext cx="2552700" cy="0"/>
        </a:xfrm>
        <a:prstGeom prst="line">
          <a:avLst/>
        </a:prstGeom>
        <a:noFill/>
        <a:ln w="9525">
          <a:solidFill>
            <a:srgbClr val="000000"/>
          </a:solidFill>
          <a:round/>
          <a:headEnd/>
          <a:tailEnd/>
        </a:ln>
      </xdr:spPr>
    </xdr:sp>
    <xdr:clientData/>
  </xdr:twoCellAnchor>
  <xdr:twoCellAnchor>
    <xdr:from>
      <xdr:col>6</xdr:col>
      <xdr:colOff>0</xdr:colOff>
      <xdr:row>147</xdr:row>
      <xdr:rowOff>0</xdr:rowOff>
    </xdr:from>
    <xdr:to>
      <xdr:col>7</xdr:col>
      <xdr:colOff>1619250</xdr:colOff>
      <xdr:row>147</xdr:row>
      <xdr:rowOff>0</xdr:rowOff>
    </xdr:to>
    <xdr:sp macro="" textlink="">
      <xdr:nvSpPr>
        <xdr:cNvPr id="24799" name="Line 3"/>
        <xdr:cNvSpPr>
          <a:spLocks noChangeShapeType="1"/>
        </xdr:cNvSpPr>
      </xdr:nvSpPr>
      <xdr:spPr bwMode="auto">
        <a:xfrm>
          <a:off x="9525000" y="57226200"/>
          <a:ext cx="27908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1228725</xdr:colOff>
      <xdr:row>41</xdr:row>
      <xdr:rowOff>0</xdr:rowOff>
    </xdr:from>
    <xdr:to>
      <xdr:col>1</xdr:col>
      <xdr:colOff>0</xdr:colOff>
      <xdr:row>41</xdr:row>
      <xdr:rowOff>0</xdr:rowOff>
    </xdr:to>
    <xdr:sp macro="" textlink="">
      <xdr:nvSpPr>
        <xdr:cNvPr id="25821" name="Line 1"/>
        <xdr:cNvSpPr>
          <a:spLocks noChangeShapeType="1"/>
        </xdr:cNvSpPr>
      </xdr:nvSpPr>
      <xdr:spPr bwMode="auto">
        <a:xfrm>
          <a:off x="1228725" y="16078200"/>
          <a:ext cx="3048000" cy="0"/>
        </a:xfrm>
        <a:prstGeom prst="line">
          <a:avLst/>
        </a:prstGeom>
        <a:noFill/>
        <a:ln w="9525">
          <a:solidFill>
            <a:srgbClr val="000000"/>
          </a:solidFill>
          <a:round/>
          <a:headEnd/>
          <a:tailEnd/>
        </a:ln>
      </xdr:spPr>
    </xdr:sp>
    <xdr:clientData/>
  </xdr:twoCellAnchor>
  <xdr:twoCellAnchor>
    <xdr:from>
      <xdr:col>2</xdr:col>
      <xdr:colOff>0</xdr:colOff>
      <xdr:row>41</xdr:row>
      <xdr:rowOff>0</xdr:rowOff>
    </xdr:from>
    <xdr:to>
      <xdr:col>4</xdr:col>
      <xdr:colOff>66675</xdr:colOff>
      <xdr:row>41</xdr:row>
      <xdr:rowOff>0</xdr:rowOff>
    </xdr:to>
    <xdr:sp macro="" textlink="">
      <xdr:nvSpPr>
        <xdr:cNvPr id="25822" name="Line 2"/>
        <xdr:cNvSpPr>
          <a:spLocks noChangeShapeType="1"/>
        </xdr:cNvSpPr>
      </xdr:nvSpPr>
      <xdr:spPr bwMode="auto">
        <a:xfrm>
          <a:off x="5295900" y="16078200"/>
          <a:ext cx="2286000" cy="0"/>
        </a:xfrm>
        <a:prstGeom prst="line">
          <a:avLst/>
        </a:prstGeom>
        <a:noFill/>
        <a:ln w="9525">
          <a:solidFill>
            <a:srgbClr val="000000"/>
          </a:solidFill>
          <a:round/>
          <a:headEnd/>
          <a:tailEnd/>
        </a:ln>
      </xdr:spPr>
    </xdr:sp>
    <xdr:clientData/>
  </xdr:twoCellAnchor>
  <xdr:twoCellAnchor>
    <xdr:from>
      <xdr:col>4</xdr:col>
      <xdr:colOff>923925</xdr:colOff>
      <xdr:row>41</xdr:row>
      <xdr:rowOff>0</xdr:rowOff>
    </xdr:from>
    <xdr:to>
      <xdr:col>6</xdr:col>
      <xdr:colOff>962025</xdr:colOff>
      <xdr:row>41</xdr:row>
      <xdr:rowOff>0</xdr:rowOff>
    </xdr:to>
    <xdr:sp macro="" textlink="">
      <xdr:nvSpPr>
        <xdr:cNvPr id="25823" name="Line 3"/>
        <xdr:cNvSpPr>
          <a:spLocks noChangeShapeType="1"/>
        </xdr:cNvSpPr>
      </xdr:nvSpPr>
      <xdr:spPr bwMode="auto">
        <a:xfrm>
          <a:off x="8439150" y="16078200"/>
          <a:ext cx="2219325"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1019175</xdr:colOff>
      <xdr:row>119</xdr:row>
      <xdr:rowOff>0</xdr:rowOff>
    </xdr:from>
    <xdr:to>
      <xdr:col>0</xdr:col>
      <xdr:colOff>3971925</xdr:colOff>
      <xdr:row>119</xdr:row>
      <xdr:rowOff>0</xdr:rowOff>
    </xdr:to>
    <xdr:sp macro="" textlink="">
      <xdr:nvSpPr>
        <xdr:cNvPr id="26845" name="Line 1"/>
        <xdr:cNvSpPr>
          <a:spLocks noChangeShapeType="1"/>
        </xdr:cNvSpPr>
      </xdr:nvSpPr>
      <xdr:spPr bwMode="auto">
        <a:xfrm>
          <a:off x="1019175" y="80629125"/>
          <a:ext cx="2952750" cy="0"/>
        </a:xfrm>
        <a:prstGeom prst="line">
          <a:avLst/>
        </a:prstGeom>
        <a:noFill/>
        <a:ln w="9525">
          <a:solidFill>
            <a:srgbClr val="000000"/>
          </a:solidFill>
          <a:round/>
          <a:headEnd/>
          <a:tailEnd/>
        </a:ln>
      </xdr:spPr>
    </xdr:sp>
    <xdr:clientData/>
  </xdr:twoCellAnchor>
  <xdr:twoCellAnchor>
    <xdr:from>
      <xdr:col>2</xdr:col>
      <xdr:colOff>0</xdr:colOff>
      <xdr:row>119</xdr:row>
      <xdr:rowOff>0</xdr:rowOff>
    </xdr:from>
    <xdr:to>
      <xdr:col>3</xdr:col>
      <xdr:colOff>723900</xdr:colOff>
      <xdr:row>119</xdr:row>
      <xdr:rowOff>0</xdr:rowOff>
    </xdr:to>
    <xdr:sp macro="" textlink="">
      <xdr:nvSpPr>
        <xdr:cNvPr id="26846" name="Line 2"/>
        <xdr:cNvSpPr>
          <a:spLocks noChangeShapeType="1"/>
        </xdr:cNvSpPr>
      </xdr:nvSpPr>
      <xdr:spPr bwMode="auto">
        <a:xfrm>
          <a:off x="4810125" y="80629125"/>
          <a:ext cx="1981200" cy="0"/>
        </a:xfrm>
        <a:prstGeom prst="line">
          <a:avLst/>
        </a:prstGeom>
        <a:noFill/>
        <a:ln w="9525">
          <a:solidFill>
            <a:srgbClr val="000000"/>
          </a:solidFill>
          <a:round/>
          <a:headEnd/>
          <a:tailEnd/>
        </a:ln>
      </xdr:spPr>
    </xdr:sp>
    <xdr:clientData/>
  </xdr:twoCellAnchor>
  <xdr:twoCellAnchor>
    <xdr:from>
      <xdr:col>4</xdr:col>
      <xdr:colOff>676275</xdr:colOff>
      <xdr:row>119</xdr:row>
      <xdr:rowOff>0</xdr:rowOff>
    </xdr:from>
    <xdr:to>
      <xdr:col>7</xdr:col>
      <xdr:colOff>0</xdr:colOff>
      <xdr:row>119</xdr:row>
      <xdr:rowOff>0</xdr:rowOff>
    </xdr:to>
    <xdr:sp macro="" textlink="">
      <xdr:nvSpPr>
        <xdr:cNvPr id="26847" name="Line 3"/>
        <xdr:cNvSpPr>
          <a:spLocks noChangeShapeType="1"/>
        </xdr:cNvSpPr>
      </xdr:nvSpPr>
      <xdr:spPr bwMode="auto">
        <a:xfrm>
          <a:off x="7477125" y="80629125"/>
          <a:ext cx="2162175" cy="0"/>
        </a:xfrm>
        <a:prstGeom prst="line">
          <a:avLst/>
        </a:prstGeom>
        <a:no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47625</xdr:colOff>
      <xdr:row>89</xdr:row>
      <xdr:rowOff>0</xdr:rowOff>
    </xdr:from>
    <xdr:to>
      <xdr:col>9</xdr:col>
      <xdr:colOff>266700</xdr:colOff>
      <xdr:row>89</xdr:row>
      <xdr:rowOff>0</xdr:rowOff>
    </xdr:to>
    <xdr:sp macro="" textlink="">
      <xdr:nvSpPr>
        <xdr:cNvPr id="27869" name="Line 1"/>
        <xdr:cNvSpPr>
          <a:spLocks noChangeShapeType="1"/>
        </xdr:cNvSpPr>
      </xdr:nvSpPr>
      <xdr:spPr bwMode="auto">
        <a:xfrm>
          <a:off x="2638425" y="62264925"/>
          <a:ext cx="4162425" cy="0"/>
        </a:xfrm>
        <a:prstGeom prst="line">
          <a:avLst/>
        </a:prstGeom>
        <a:noFill/>
        <a:ln w="9525">
          <a:solidFill>
            <a:srgbClr val="000000"/>
          </a:solidFill>
          <a:round/>
          <a:headEnd/>
          <a:tailEnd/>
        </a:ln>
      </xdr:spPr>
    </xdr:sp>
    <xdr:clientData/>
  </xdr:twoCellAnchor>
  <xdr:twoCellAnchor>
    <xdr:from>
      <xdr:col>14</xdr:col>
      <xdr:colOff>914400</xdr:colOff>
      <xdr:row>89</xdr:row>
      <xdr:rowOff>0</xdr:rowOff>
    </xdr:from>
    <xdr:to>
      <xdr:col>19</xdr:col>
      <xdr:colOff>800100</xdr:colOff>
      <xdr:row>89</xdr:row>
      <xdr:rowOff>0</xdr:rowOff>
    </xdr:to>
    <xdr:sp macro="" textlink="">
      <xdr:nvSpPr>
        <xdr:cNvPr id="27870" name="Line 2"/>
        <xdr:cNvSpPr>
          <a:spLocks noChangeShapeType="1"/>
        </xdr:cNvSpPr>
      </xdr:nvSpPr>
      <xdr:spPr bwMode="auto">
        <a:xfrm flipV="1">
          <a:off x="10725150" y="62264925"/>
          <a:ext cx="4419600" cy="0"/>
        </a:xfrm>
        <a:prstGeom prst="line">
          <a:avLst/>
        </a:prstGeom>
        <a:noFill/>
        <a:ln w="9525">
          <a:solidFill>
            <a:srgbClr val="000000"/>
          </a:solidFill>
          <a:round/>
          <a:headEnd/>
          <a:tailEnd/>
        </a:ln>
      </xdr:spPr>
    </xdr:sp>
    <xdr:clientData/>
  </xdr:twoCellAnchor>
  <xdr:twoCellAnchor>
    <xdr:from>
      <xdr:col>27</xdr:col>
      <xdr:colOff>180975</xdr:colOff>
      <xdr:row>89</xdr:row>
      <xdr:rowOff>0</xdr:rowOff>
    </xdr:from>
    <xdr:to>
      <xdr:col>31</xdr:col>
      <xdr:colOff>904875</xdr:colOff>
      <xdr:row>89</xdr:row>
      <xdr:rowOff>0</xdr:rowOff>
    </xdr:to>
    <xdr:sp macro="" textlink="">
      <xdr:nvSpPr>
        <xdr:cNvPr id="27871" name="Line 3"/>
        <xdr:cNvSpPr>
          <a:spLocks noChangeShapeType="1"/>
        </xdr:cNvSpPr>
      </xdr:nvSpPr>
      <xdr:spPr bwMode="auto">
        <a:xfrm>
          <a:off x="21669375" y="62264925"/>
          <a:ext cx="422910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User\Downloads\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GDP"/>
      <sheetName val="Real GDP &amp; Real IP (u)"/>
      <sheetName val="Real GDP &amp; Real IP (e)"/>
      <sheetName val="GDP_gr"/>
      <sheetName val="Светлые"/>
    </sheetNames>
    <sheetDataSet>
      <sheetData sheetId="0"/>
      <sheetData sheetId="1"/>
      <sheetData sheetId="2"/>
      <sheetData sheetId="3"/>
      <sheetData sheetId="4"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МТР Газ України"/>
      <sheetName val="Inform"/>
      <sheetName val="Лист1"/>
      <sheetName val="МТР все 2"/>
    </sheetNames>
    <sheetDataSet>
      <sheetData sheetId="0" refreshError="1"/>
      <sheetData sheetId="1" refreshError="1"/>
      <sheetData sheetId="2" refreshError="1"/>
      <sheetData sheetId="3"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Inform"/>
    </sheetNames>
    <sheetDataSet>
      <sheetData sheetId="0"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МТР Газ України"/>
      <sheetName val="Ener "/>
      <sheetName val="Лист1"/>
      <sheetName val="ТРП"/>
    </sheetNames>
    <sheetDataSet>
      <sheetData sheetId="0" refreshError="1"/>
      <sheetData sheetId="1" refreshError="1"/>
      <sheetData sheetId="2" refreshError="1"/>
      <sheetData sheetId="3"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Inform"/>
      <sheetName val="Технич лист"/>
    </sheetNames>
    <sheetDataSet>
      <sheetData sheetId="0" refreshError="1"/>
      <sheetData sheetId="1"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form"/>
    </sheetNames>
    <sheetDataSet>
      <sheetData sheetId="0"/>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МТР Газ України"/>
      <sheetName val="Inform"/>
      <sheetName val="1_Структура по елементах"/>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A1:Q245"/>
  <sheetViews>
    <sheetView view="pageBreakPreview" zoomScale="80" zoomScaleNormal="60" zoomScaleSheetLayoutView="80" workbookViewId="0">
      <selection activeCell="B8" sqref="B8:D8"/>
    </sheetView>
  </sheetViews>
  <sheetFormatPr defaultRowHeight="23.25"/>
  <cols>
    <col min="1" max="1" width="72.5703125" style="175" customWidth="1"/>
    <col min="2" max="2" width="17.140625" style="177" customWidth="1"/>
    <col min="3" max="4" width="25.28515625" style="177" customWidth="1"/>
    <col min="5" max="5" width="23.42578125" style="177" customWidth="1"/>
    <col min="6" max="6" width="23.85546875" style="177" customWidth="1"/>
    <col min="7" max="7" width="22.42578125" style="177" customWidth="1"/>
    <col min="8" max="8" width="10" style="28" customWidth="1"/>
    <col min="9" max="9" width="9.5703125" style="28" customWidth="1"/>
    <col min="10" max="16384" width="9.140625" style="28"/>
  </cols>
  <sheetData>
    <row r="1" spans="1:11" ht="23.25" customHeight="1">
      <c r="B1" s="176"/>
      <c r="D1" s="175"/>
      <c r="E1" s="175" t="s">
        <v>238</v>
      </c>
      <c r="F1" s="175"/>
      <c r="G1" s="175"/>
      <c r="H1" s="88"/>
      <c r="I1" s="88"/>
      <c r="J1" s="88"/>
      <c r="K1" s="88"/>
    </row>
    <row r="2" spans="1:11" ht="18.75" customHeight="1">
      <c r="A2" s="178"/>
      <c r="D2" s="179"/>
      <c r="E2" s="386" t="s">
        <v>358</v>
      </c>
      <c r="F2" s="386"/>
      <c r="G2" s="386"/>
      <c r="H2" s="88"/>
      <c r="I2" s="88"/>
      <c r="J2" s="88"/>
      <c r="K2" s="88"/>
    </row>
    <row r="3" spans="1:11" ht="18.75" customHeight="1">
      <c r="A3" s="177"/>
      <c r="C3" s="179"/>
      <c r="D3" s="179"/>
      <c r="E3" s="386"/>
      <c r="F3" s="386"/>
      <c r="G3" s="386"/>
      <c r="H3" s="88"/>
      <c r="I3" s="88"/>
      <c r="J3" s="88"/>
      <c r="K3" s="88"/>
    </row>
    <row r="4" spans="1:11" ht="18.75" customHeight="1">
      <c r="A4" s="177"/>
      <c r="C4" s="179"/>
      <c r="D4" s="179"/>
      <c r="E4" s="386"/>
      <c r="F4" s="386"/>
      <c r="G4" s="386"/>
      <c r="H4" s="88"/>
      <c r="I4" s="88"/>
      <c r="J4" s="88"/>
      <c r="K4" s="88"/>
    </row>
    <row r="5" spans="1:11" ht="62.25" customHeight="1">
      <c r="B5" s="180"/>
      <c r="C5" s="180"/>
      <c r="E5" s="387"/>
      <c r="F5" s="387"/>
      <c r="G5" s="387"/>
    </row>
    <row r="6" spans="1:11" ht="25.5" customHeight="1">
      <c r="A6" s="181"/>
      <c r="B6" s="393"/>
      <c r="C6" s="393"/>
      <c r="D6" s="393"/>
      <c r="E6" s="182"/>
      <c r="F6" s="183" t="s">
        <v>687</v>
      </c>
      <c r="G6" s="184" t="s">
        <v>259</v>
      </c>
    </row>
    <row r="7" spans="1:11" ht="77.25" customHeight="1">
      <c r="A7" s="185" t="s">
        <v>14</v>
      </c>
      <c r="B7" s="393" t="s">
        <v>529</v>
      </c>
      <c r="C7" s="393"/>
      <c r="D7" s="393"/>
      <c r="E7" s="186"/>
      <c r="F7" s="187" t="s">
        <v>131</v>
      </c>
      <c r="G7" s="184">
        <v>39754779</v>
      </c>
    </row>
    <row r="8" spans="1:11" ht="25.5" customHeight="1">
      <c r="A8" s="181" t="s">
        <v>15</v>
      </c>
      <c r="B8" s="393" t="s">
        <v>478</v>
      </c>
      <c r="C8" s="393"/>
      <c r="D8" s="393"/>
      <c r="E8" s="182"/>
      <c r="F8" s="187" t="s">
        <v>130</v>
      </c>
      <c r="G8" s="184">
        <v>150</v>
      </c>
    </row>
    <row r="9" spans="1:11" ht="51" customHeight="1">
      <c r="A9" s="181" t="s">
        <v>19</v>
      </c>
      <c r="B9" s="393" t="s">
        <v>479</v>
      </c>
      <c r="C9" s="393"/>
      <c r="D9" s="393"/>
      <c r="E9" s="182"/>
      <c r="F9" s="187" t="s">
        <v>129</v>
      </c>
      <c r="G9" s="184">
        <v>1210136600</v>
      </c>
    </row>
    <row r="10" spans="1:11" ht="25.5" customHeight="1">
      <c r="A10" s="185" t="s">
        <v>382</v>
      </c>
      <c r="B10" s="393"/>
      <c r="C10" s="393"/>
      <c r="D10" s="393"/>
      <c r="E10" s="186"/>
      <c r="F10" s="187" t="s">
        <v>9</v>
      </c>
      <c r="G10" s="184"/>
    </row>
    <row r="11" spans="1:11" ht="25.5" customHeight="1">
      <c r="A11" s="185" t="s">
        <v>17</v>
      </c>
      <c r="B11" s="393"/>
      <c r="C11" s="393"/>
      <c r="D11" s="393"/>
      <c r="E11" s="186"/>
      <c r="F11" s="187" t="s">
        <v>8</v>
      </c>
      <c r="G11" s="184"/>
    </row>
    <row r="12" spans="1:11" ht="25.5" customHeight="1">
      <c r="A12" s="185" t="s">
        <v>16</v>
      </c>
      <c r="B12" s="393" t="s">
        <v>480</v>
      </c>
      <c r="C12" s="393"/>
      <c r="D12" s="393"/>
      <c r="E12" s="186"/>
      <c r="F12" s="187" t="s">
        <v>10</v>
      </c>
      <c r="G12" s="184" t="s">
        <v>481</v>
      </c>
    </row>
    <row r="13" spans="1:11" ht="25.5" customHeight="1">
      <c r="A13" s="185" t="s">
        <v>328</v>
      </c>
      <c r="B13" s="393"/>
      <c r="C13" s="393"/>
      <c r="D13" s="393"/>
      <c r="E13" s="393" t="s">
        <v>192</v>
      </c>
      <c r="F13" s="402"/>
      <c r="G13" s="188" t="s">
        <v>530</v>
      </c>
    </row>
    <row r="14" spans="1:11" ht="25.5" customHeight="1">
      <c r="A14" s="185" t="s">
        <v>20</v>
      </c>
      <c r="B14" s="393" t="s">
        <v>531</v>
      </c>
      <c r="C14" s="393"/>
      <c r="D14" s="393"/>
      <c r="E14" s="393" t="s">
        <v>193</v>
      </c>
      <c r="F14" s="401"/>
      <c r="G14" s="189"/>
    </row>
    <row r="15" spans="1:11" ht="25.5" customHeight="1">
      <c r="A15" s="185" t="s">
        <v>105</v>
      </c>
      <c r="B15" s="393">
        <v>116</v>
      </c>
      <c r="C15" s="393"/>
      <c r="D15" s="393"/>
      <c r="E15" s="190"/>
      <c r="F15" s="190"/>
      <c r="G15" s="190"/>
    </row>
    <row r="16" spans="1:11" ht="50.25" customHeight="1">
      <c r="A16" s="181" t="s">
        <v>11</v>
      </c>
      <c r="B16" s="393" t="s">
        <v>482</v>
      </c>
      <c r="C16" s="393"/>
      <c r="D16" s="393"/>
      <c r="E16" s="191"/>
      <c r="F16" s="191"/>
      <c r="G16" s="191"/>
    </row>
    <row r="17" spans="1:17" ht="25.5" customHeight="1">
      <c r="A17" s="185" t="s">
        <v>12</v>
      </c>
      <c r="B17" s="393" t="s">
        <v>532</v>
      </c>
      <c r="C17" s="393"/>
      <c r="D17" s="393"/>
      <c r="E17" s="190"/>
      <c r="F17" s="190"/>
      <c r="G17" s="190"/>
    </row>
    <row r="18" spans="1:17" ht="25.5" customHeight="1">
      <c r="A18" s="181" t="s">
        <v>13</v>
      </c>
      <c r="B18" s="393" t="s">
        <v>640</v>
      </c>
      <c r="C18" s="393"/>
      <c r="D18" s="393"/>
      <c r="E18" s="191"/>
      <c r="F18" s="191"/>
      <c r="G18" s="191"/>
    </row>
    <row r="19" spans="1:17" ht="46.5" customHeight="1">
      <c r="A19" s="399" t="s">
        <v>239</v>
      </c>
      <c r="B19" s="399"/>
      <c r="C19" s="399"/>
      <c r="D19" s="399"/>
      <c r="E19" s="399"/>
      <c r="F19" s="399"/>
      <c r="G19" s="399"/>
    </row>
    <row r="20" spans="1:17" ht="27">
      <c r="A20" s="399" t="s">
        <v>381</v>
      </c>
      <c r="B20" s="399"/>
      <c r="C20" s="399"/>
      <c r="D20" s="399"/>
      <c r="E20" s="399"/>
      <c r="F20" s="399"/>
      <c r="G20" s="399"/>
    </row>
    <row r="21" spans="1:17">
      <c r="A21" s="398" t="s">
        <v>688</v>
      </c>
      <c r="B21" s="398"/>
      <c r="C21" s="398"/>
      <c r="D21" s="398"/>
      <c r="E21" s="398"/>
      <c r="F21" s="398"/>
      <c r="G21" s="398"/>
    </row>
    <row r="22" spans="1:17" ht="20.25" customHeight="1">
      <c r="A22" s="394" t="s">
        <v>356</v>
      </c>
      <c r="B22" s="394"/>
      <c r="C22" s="394"/>
      <c r="D22" s="394"/>
      <c r="E22" s="394"/>
      <c r="F22" s="394"/>
      <c r="G22" s="394"/>
    </row>
    <row r="23" spans="1:17">
      <c r="A23" s="400" t="s">
        <v>205</v>
      </c>
      <c r="B23" s="400"/>
      <c r="C23" s="400"/>
      <c r="D23" s="400"/>
      <c r="E23" s="400"/>
      <c r="F23" s="400"/>
      <c r="G23" s="400"/>
    </row>
    <row r="24" spans="1:17" ht="43.5" customHeight="1">
      <c r="A24" s="407" t="s">
        <v>286</v>
      </c>
      <c r="B24" s="392" t="s">
        <v>18</v>
      </c>
      <c r="C24" s="404" t="s">
        <v>357</v>
      </c>
      <c r="D24" s="403" t="s">
        <v>355</v>
      </c>
      <c r="E24" s="403"/>
      <c r="F24" s="403"/>
      <c r="G24" s="403"/>
      <c r="Q24" s="28" t="s">
        <v>374</v>
      </c>
    </row>
    <row r="25" spans="1:17" ht="44.25" customHeight="1">
      <c r="A25" s="407"/>
      <c r="B25" s="392"/>
      <c r="C25" s="405"/>
      <c r="D25" s="192" t="s">
        <v>264</v>
      </c>
      <c r="E25" s="192" t="s">
        <v>247</v>
      </c>
      <c r="F25" s="192" t="s">
        <v>274</v>
      </c>
      <c r="G25" s="192" t="s">
        <v>275</v>
      </c>
    </row>
    <row r="26" spans="1:17" ht="15.75" customHeight="1">
      <c r="A26" s="193">
        <v>1</v>
      </c>
      <c r="B26" s="194">
        <v>2</v>
      </c>
      <c r="C26" s="193">
        <v>3</v>
      </c>
      <c r="D26" s="193">
        <v>4</v>
      </c>
      <c r="E26" s="194">
        <v>5</v>
      </c>
      <c r="F26" s="193">
        <v>6</v>
      </c>
      <c r="G26" s="194">
        <v>7</v>
      </c>
    </row>
    <row r="27" spans="1:17" ht="24.95" customHeight="1">
      <c r="A27" s="391" t="s">
        <v>98</v>
      </c>
      <c r="B27" s="391"/>
      <c r="C27" s="391"/>
      <c r="D27" s="391"/>
      <c r="E27" s="391"/>
      <c r="F27" s="391"/>
      <c r="G27" s="391"/>
    </row>
    <row r="28" spans="1:17" ht="46.5">
      <c r="A28" s="195" t="s">
        <v>206</v>
      </c>
      <c r="B28" s="188">
        <f>'1. Фін результат'!B8</f>
        <v>1000</v>
      </c>
      <c r="C28" s="196">
        <f>'1. Фін результат'!C8</f>
        <v>740</v>
      </c>
      <c r="D28" s="196">
        <f>'1. Фін результат'!D8</f>
        <v>690</v>
      </c>
      <c r="E28" s="196">
        <f>'1. Фін результат'!E8</f>
        <v>123</v>
      </c>
      <c r="F28" s="197">
        <f>E28-D28</f>
        <v>-567</v>
      </c>
      <c r="G28" s="198">
        <f>E28*100/D28</f>
        <v>17.826086956521738</v>
      </c>
    </row>
    <row r="29" spans="1:17" ht="46.5">
      <c r="A29" s="195" t="s">
        <v>175</v>
      </c>
      <c r="B29" s="188">
        <f>'1. Фін результат'!B12</f>
        <v>1010</v>
      </c>
      <c r="C29" s="196">
        <f>'1. Фін результат'!C12</f>
        <v>0</v>
      </c>
      <c r="D29" s="196">
        <v>0</v>
      </c>
      <c r="E29" s="196">
        <v>0</v>
      </c>
      <c r="F29" s="197">
        <f t="shared" ref="F29:F41" si="0">E29-D29</f>
        <v>0</v>
      </c>
      <c r="G29" s="198">
        <f>E29*100</f>
        <v>0</v>
      </c>
    </row>
    <row r="30" spans="1:17">
      <c r="A30" s="199" t="s">
        <v>265</v>
      </c>
      <c r="B30" s="188">
        <f>'1. Фін результат'!B21</f>
        <v>1020</v>
      </c>
      <c r="C30" s="196">
        <f>'1. Фін результат'!C21</f>
        <v>740</v>
      </c>
      <c r="D30" s="196">
        <f>'1. Фін результат'!D21</f>
        <v>690</v>
      </c>
      <c r="E30" s="196">
        <f>'1. Фін результат'!E21</f>
        <v>123</v>
      </c>
      <c r="F30" s="197">
        <f t="shared" si="0"/>
        <v>-567</v>
      </c>
      <c r="G30" s="198">
        <f>E30*100/D30</f>
        <v>17.826086956521738</v>
      </c>
    </row>
    <row r="31" spans="1:17">
      <c r="A31" s="195" t="s">
        <v>141</v>
      </c>
      <c r="B31" s="188">
        <f>'1. Фін результат'!B27</f>
        <v>1040</v>
      </c>
      <c r="C31" s="196">
        <f>'1. Фін результат'!C27</f>
        <v>15140</v>
      </c>
      <c r="D31" s="196">
        <f>'1. Фін результат'!D27</f>
        <v>11221</v>
      </c>
      <c r="E31" s="196">
        <f>'1. Фін результат'!E27</f>
        <v>10151</v>
      </c>
      <c r="F31" s="197">
        <f t="shared" si="0"/>
        <v>-1070</v>
      </c>
      <c r="G31" s="198">
        <f>E31*100/D31</f>
        <v>90.46430799393994</v>
      </c>
    </row>
    <row r="32" spans="1:17">
      <c r="A32" s="195" t="s">
        <v>138</v>
      </c>
      <c r="B32" s="188">
        <f>'1. Фін результат'!B64</f>
        <v>1070</v>
      </c>
      <c r="C32" s="196">
        <f>'1. Фін результат'!C64</f>
        <v>0</v>
      </c>
      <c r="D32" s="196">
        <v>0</v>
      </c>
      <c r="E32" s="196">
        <v>0</v>
      </c>
      <c r="F32" s="197">
        <f t="shared" si="0"/>
        <v>0</v>
      </c>
      <c r="G32" s="198">
        <f>E32*100</f>
        <v>0</v>
      </c>
    </row>
    <row r="33" spans="1:7">
      <c r="A33" s="195" t="s">
        <v>142</v>
      </c>
      <c r="B33" s="188">
        <f>'1. Фін результат'!B125</f>
        <v>1300</v>
      </c>
      <c r="C33" s="196">
        <f>'1. Фін результат'!C125</f>
        <v>-22060</v>
      </c>
      <c r="D33" s="196">
        <f>'1. Фін результат'!D125</f>
        <v>-31200</v>
      </c>
      <c r="E33" s="196">
        <f>'1. Фін результат'!E125</f>
        <v>-30421</v>
      </c>
      <c r="F33" s="197">
        <f t="shared" si="0"/>
        <v>779</v>
      </c>
      <c r="G33" s="198">
        <f>E33*100/D33</f>
        <v>97.503205128205124</v>
      </c>
    </row>
    <row r="34" spans="1:7" ht="45">
      <c r="A34" s="200" t="s">
        <v>4</v>
      </c>
      <c r="B34" s="188">
        <f>'1. Фін результат'!B104</f>
        <v>1100</v>
      </c>
      <c r="C34" s="196">
        <f>'1. Фін результат'!C104</f>
        <v>-36460</v>
      </c>
      <c r="D34" s="196">
        <f>'1. Фін результат'!D104</f>
        <v>-41731</v>
      </c>
      <c r="E34" s="196">
        <f>'1. Фін результат'!E104</f>
        <v>-40491</v>
      </c>
      <c r="F34" s="197">
        <f t="shared" si="0"/>
        <v>1240</v>
      </c>
      <c r="G34" s="198">
        <f>E34*100/D34</f>
        <v>97.028587860343634</v>
      </c>
    </row>
    <row r="35" spans="1:7">
      <c r="A35" s="201" t="s">
        <v>143</v>
      </c>
      <c r="B35" s="188">
        <f>'1. Фін результат'!B136</f>
        <v>1410</v>
      </c>
      <c r="C35" s="196">
        <f>'1. Фін результат'!C136</f>
        <v>-32415</v>
      </c>
      <c r="D35" s="196">
        <f>'1. Фін результат'!D136</f>
        <v>-37480</v>
      </c>
      <c r="E35" s="196">
        <f>'1. Фін результат'!E136</f>
        <v>-35563</v>
      </c>
      <c r="F35" s="197">
        <f t="shared" si="0"/>
        <v>1917</v>
      </c>
      <c r="G35" s="198">
        <f>E35*100/D35</f>
        <v>94.885272145144071</v>
      </c>
    </row>
    <row r="36" spans="1:7">
      <c r="A36" s="202" t="s">
        <v>229</v>
      </c>
      <c r="B36" s="188">
        <f>' 5. Коефіцієнти'!B8</f>
        <v>5010</v>
      </c>
      <c r="C36" s="196">
        <f>' 5. Коефіцієнти'!D8</f>
        <v>-43.804054054054056</v>
      </c>
      <c r="D36" s="196">
        <f>' 5. Коефіцієнти'!D8</f>
        <v>-43.804054054054056</v>
      </c>
      <c r="E36" s="196">
        <f>' 5. Коефіцієнти'!E8</f>
        <v>-289.130081300813</v>
      </c>
      <c r="F36" s="197">
        <f t="shared" si="0"/>
        <v>-245.32602724675894</v>
      </c>
      <c r="G36" s="198">
        <f>E36*100/D36</f>
        <v>660.05324745519545</v>
      </c>
    </row>
    <row r="37" spans="1:7" ht="46.5">
      <c r="A37" s="202" t="s">
        <v>144</v>
      </c>
      <c r="B37" s="188">
        <f>'1. Фін результат'!B126</f>
        <v>1310</v>
      </c>
      <c r="C37" s="196">
        <f>'1. Фін результат'!C126</f>
        <v>0</v>
      </c>
      <c r="D37" s="196">
        <f>'1. Фін результат'!D126</f>
        <v>0</v>
      </c>
      <c r="E37" s="196">
        <f>'1. Фін результат'!E126</f>
        <v>0</v>
      </c>
      <c r="F37" s="197">
        <f t="shared" si="0"/>
        <v>0</v>
      </c>
      <c r="G37" s="198">
        <f>E37*100</f>
        <v>0</v>
      </c>
    </row>
    <row r="38" spans="1:7">
      <c r="A38" s="195" t="s">
        <v>233</v>
      </c>
      <c r="B38" s="188">
        <f>'1. Фін результат'!B127</f>
        <v>1320</v>
      </c>
      <c r="C38" s="196">
        <f>'1. Фін результат'!C127</f>
        <v>14105</v>
      </c>
      <c r="D38" s="196">
        <f>'1. Фін результат'!D127</f>
        <v>16585</v>
      </c>
      <c r="E38" s="196">
        <f>'1. Фін результат'!E127</f>
        <v>14527</v>
      </c>
      <c r="F38" s="197">
        <f t="shared" si="0"/>
        <v>-2058</v>
      </c>
      <c r="G38" s="198">
        <f>E38*100/D38</f>
        <v>87.591196864636714</v>
      </c>
    </row>
    <row r="39" spans="1:7">
      <c r="A39" s="201" t="s">
        <v>96</v>
      </c>
      <c r="B39" s="188">
        <f>'1. Фін результат'!B117</f>
        <v>1170</v>
      </c>
      <c r="C39" s="196">
        <f>'1. Фін результат'!C117</f>
        <v>-22355</v>
      </c>
      <c r="D39" s="196">
        <f>'1. Фін результат'!D117</f>
        <v>-25146</v>
      </c>
      <c r="E39" s="196">
        <f>'1. Фін результат'!E117</f>
        <v>-25964</v>
      </c>
      <c r="F39" s="197">
        <f t="shared" si="0"/>
        <v>-818</v>
      </c>
      <c r="G39" s="198">
        <f>E39*100/D39</f>
        <v>103.25300246560089</v>
      </c>
    </row>
    <row r="40" spans="1:7">
      <c r="A40" s="203" t="s">
        <v>139</v>
      </c>
      <c r="B40" s="188">
        <f>'1. Фін результат'!B118</f>
        <v>1180</v>
      </c>
      <c r="C40" s="196"/>
      <c r="D40" s="196"/>
      <c r="E40" s="196"/>
      <c r="F40" s="197">
        <f t="shared" si="0"/>
        <v>0</v>
      </c>
      <c r="G40" s="198"/>
    </row>
    <row r="41" spans="1:7">
      <c r="A41" s="200" t="s">
        <v>230</v>
      </c>
      <c r="B41" s="188">
        <f>'1. Фін результат'!B120</f>
        <v>1200</v>
      </c>
      <c r="C41" s="196">
        <f>'1. Фін результат'!C120</f>
        <v>-22355</v>
      </c>
      <c r="D41" s="196">
        <f>'1. Фін результат'!D120</f>
        <v>-25146</v>
      </c>
      <c r="E41" s="196">
        <f>'1. Фін результат'!E120</f>
        <v>-25964</v>
      </c>
      <c r="F41" s="197">
        <f t="shared" si="0"/>
        <v>-818</v>
      </c>
      <c r="G41" s="198">
        <f>E41*100/D41</f>
        <v>103.25300246560089</v>
      </c>
    </row>
    <row r="42" spans="1:7">
      <c r="A42" s="202" t="s">
        <v>231</v>
      </c>
      <c r="B42" s="188">
        <f>' 5. Коефіцієнти'!B11</f>
        <v>5040</v>
      </c>
      <c r="C42" s="196"/>
      <c r="D42" s="196"/>
      <c r="E42" s="196"/>
      <c r="F42" s="197"/>
      <c r="G42" s="198"/>
    </row>
    <row r="43" spans="1:7">
      <c r="A43" s="388" t="s">
        <v>156</v>
      </c>
      <c r="B43" s="389"/>
      <c r="C43" s="389"/>
      <c r="D43" s="389"/>
      <c r="E43" s="389"/>
      <c r="F43" s="389"/>
      <c r="G43" s="390"/>
    </row>
    <row r="44" spans="1:7">
      <c r="A44" s="202" t="s">
        <v>359</v>
      </c>
      <c r="B44" s="188">
        <f>'2. Розрахунки з бюджетом'!B21</f>
        <v>2100</v>
      </c>
      <c r="C44" s="196"/>
      <c r="D44" s="196"/>
      <c r="E44" s="196"/>
      <c r="F44" s="197"/>
      <c r="G44" s="198"/>
    </row>
    <row r="45" spans="1:7">
      <c r="A45" s="204" t="s">
        <v>155</v>
      </c>
      <c r="B45" s="188">
        <f>'2. Розрахунки з бюджетом'!B24</f>
        <v>2110</v>
      </c>
      <c r="C45" s="196"/>
      <c r="D45" s="196"/>
      <c r="E45" s="196"/>
      <c r="F45" s="197"/>
      <c r="G45" s="198"/>
    </row>
    <row r="46" spans="1:7" ht="46.5">
      <c r="A46" s="204" t="s">
        <v>578</v>
      </c>
      <c r="B46" s="188" t="s">
        <v>321</v>
      </c>
      <c r="C46" s="196"/>
      <c r="D46" s="196"/>
      <c r="E46" s="196"/>
      <c r="F46" s="197"/>
      <c r="G46" s="198"/>
    </row>
    <row r="47" spans="1:7" ht="46.5">
      <c r="A47" s="202" t="s">
        <v>257</v>
      </c>
      <c r="B47" s="188">
        <f>'2. Розрахунки з бюджетом'!B27</f>
        <v>2140</v>
      </c>
      <c r="C47" s="196">
        <f>'2. Розрахунки з бюджетом'!C27</f>
        <v>3075</v>
      </c>
      <c r="D47" s="196">
        <f>'2. Розрахунки з бюджетом'!D27</f>
        <v>2955</v>
      </c>
      <c r="E47" s="196">
        <f>'2. Розрахунки з бюджетом'!E27</f>
        <v>2932</v>
      </c>
      <c r="F47" s="197">
        <f>E47-D47</f>
        <v>-23</v>
      </c>
      <c r="G47" s="198">
        <f>E47*100/D47</f>
        <v>99.22165820642978</v>
      </c>
    </row>
    <row r="48" spans="1:7" ht="46.5">
      <c r="A48" s="202" t="s">
        <v>83</v>
      </c>
      <c r="B48" s="188">
        <f>'2. Розрахунки з бюджетом'!B38</f>
        <v>2150</v>
      </c>
      <c r="C48" s="196">
        <f>'2. Розрахунки з бюджетом'!C38</f>
        <v>3465</v>
      </c>
      <c r="D48" s="196">
        <f>'2. Розрахунки з бюджетом'!D38</f>
        <v>3334</v>
      </c>
      <c r="E48" s="196">
        <f>'2. Розрахунки з бюджетом'!E38</f>
        <v>3318</v>
      </c>
      <c r="F48" s="197">
        <f t="shared" ref="F48:F49" si="1">E48-D48</f>
        <v>-16</v>
      </c>
      <c r="G48" s="198">
        <f>E48*100/D48</f>
        <v>99.520095980803845</v>
      </c>
    </row>
    <row r="49" spans="1:7">
      <c r="A49" s="201" t="s">
        <v>266</v>
      </c>
      <c r="B49" s="188">
        <f>'2. Розрахунки з бюджетом'!B39</f>
        <v>2200</v>
      </c>
      <c r="C49" s="196">
        <f>C47+C48</f>
        <v>6540</v>
      </c>
      <c r="D49" s="196">
        <f>D47+D48</f>
        <v>6289</v>
      </c>
      <c r="E49" s="196">
        <f>E47+E48</f>
        <v>6250</v>
      </c>
      <c r="F49" s="197">
        <f t="shared" si="1"/>
        <v>-39</v>
      </c>
      <c r="G49" s="198">
        <f>E49*100/D49</f>
        <v>99.379869613611064</v>
      </c>
    </row>
    <row r="50" spans="1:7">
      <c r="A50" s="388" t="s">
        <v>154</v>
      </c>
      <c r="B50" s="389"/>
      <c r="C50" s="389"/>
      <c r="D50" s="389"/>
      <c r="E50" s="389"/>
      <c r="F50" s="389"/>
      <c r="G50" s="390"/>
    </row>
    <row r="51" spans="1:7">
      <c r="A51" s="201" t="s">
        <v>145</v>
      </c>
      <c r="B51" s="188">
        <f>'3. Рух грошових коштів'!B113</f>
        <v>3600</v>
      </c>
      <c r="C51" s="196">
        <f>'3. Рух грошових коштів'!C113</f>
        <v>9095</v>
      </c>
      <c r="D51" s="196">
        <f>'3. Рух грошових коштів'!D113</f>
        <v>596</v>
      </c>
      <c r="E51" s="196">
        <f>'3. Рух грошових коштів'!E113</f>
        <v>596</v>
      </c>
      <c r="F51" s="197">
        <f>E51-D51</f>
        <v>0</v>
      </c>
      <c r="G51" s="198">
        <f>E51*100/D51</f>
        <v>100</v>
      </c>
    </row>
    <row r="52" spans="1:7" ht="46.5">
      <c r="A52" s="202" t="s">
        <v>146</v>
      </c>
      <c r="B52" s="188">
        <f>'3. Рух грошових коштів'!B29</f>
        <v>3090</v>
      </c>
      <c r="C52" s="196">
        <f>'3. Рух грошових коштів'!C29</f>
        <v>-19476</v>
      </c>
      <c r="D52" s="196">
        <f>'3. Рух грошових коштів'!D29</f>
        <v>-21273</v>
      </c>
      <c r="E52" s="196">
        <f>'3. Рух грошових коштів'!E29</f>
        <v>-33663</v>
      </c>
      <c r="F52" s="197">
        <f t="shared" ref="F52:F56" si="2">E52-D52</f>
        <v>-12390</v>
      </c>
      <c r="G52" s="198">
        <f>E52*100/D52</f>
        <v>158.24284304047384</v>
      </c>
    </row>
    <row r="53" spans="1:7" ht="46.5">
      <c r="A53" s="202" t="s">
        <v>234</v>
      </c>
      <c r="B53" s="188">
        <f>'3. Рух грошових коштів'!B77</f>
        <v>3320</v>
      </c>
      <c r="C53" s="196">
        <f>'3. Рух грошових коштів'!C77</f>
        <v>-48357</v>
      </c>
      <c r="D53" s="196">
        <f>'3. Рух грошових коштів'!D77</f>
        <v>-47304</v>
      </c>
      <c r="E53" s="196">
        <f>'3. Рух грошових коштів'!E77</f>
        <v>-15739</v>
      </c>
      <c r="F53" s="197">
        <f t="shared" si="2"/>
        <v>31565</v>
      </c>
      <c r="G53" s="198">
        <f>E53*100/D53</f>
        <v>33.272027735498057</v>
      </c>
    </row>
    <row r="54" spans="1:7" ht="46.5">
      <c r="A54" s="202" t="s">
        <v>147</v>
      </c>
      <c r="B54" s="188">
        <f>'3. Рух грошових коштів'!B111</f>
        <v>3580</v>
      </c>
      <c r="C54" s="196">
        <f>'3. Рух грошових коштів'!C111</f>
        <v>71462</v>
      </c>
      <c r="D54" s="196">
        <f>'3. Рух грошових коштів'!D111</f>
        <v>72688</v>
      </c>
      <c r="E54" s="196">
        <f>'3. Рух грошових коштів'!E111</f>
        <v>56544</v>
      </c>
      <c r="F54" s="197">
        <f t="shared" si="2"/>
        <v>-16144</v>
      </c>
      <c r="G54" s="198">
        <f>E54*100/D54</f>
        <v>77.790006603565928</v>
      </c>
    </row>
    <row r="55" spans="1:7" ht="54" customHeight="1">
      <c r="A55" s="202" t="s">
        <v>170</v>
      </c>
      <c r="B55" s="188">
        <f>'3. Рух грошових коштів'!B114</f>
        <v>3610</v>
      </c>
      <c r="C55" s="196"/>
      <c r="D55" s="196"/>
      <c r="E55" s="196"/>
      <c r="F55" s="197"/>
      <c r="G55" s="198"/>
    </row>
    <row r="56" spans="1:7" ht="38.25" customHeight="1">
      <c r="A56" s="201" t="s">
        <v>148</v>
      </c>
      <c r="B56" s="188">
        <f>'3. Рух грошових коштів'!B115</f>
        <v>3620</v>
      </c>
      <c r="C56" s="196">
        <f>'3. Рух грошових коштів'!C115</f>
        <v>12724</v>
      </c>
      <c r="D56" s="196">
        <f>'3. Рух грошових коштів'!D115</f>
        <v>4707</v>
      </c>
      <c r="E56" s="196">
        <f>'3. Рух грошових коштів'!E115</f>
        <v>7738</v>
      </c>
      <c r="F56" s="197">
        <f t="shared" si="2"/>
        <v>3031</v>
      </c>
      <c r="G56" s="198">
        <f>E56*100/D56</f>
        <v>164.39345655406842</v>
      </c>
    </row>
    <row r="57" spans="1:7">
      <c r="A57" s="396" t="s">
        <v>213</v>
      </c>
      <c r="B57" s="397"/>
      <c r="C57" s="397"/>
      <c r="D57" s="397"/>
      <c r="E57" s="397"/>
      <c r="F57" s="397"/>
      <c r="G57" s="397"/>
    </row>
    <row r="58" spans="1:7">
      <c r="A58" s="202" t="s">
        <v>212</v>
      </c>
      <c r="B58" s="184">
        <f>'4. Кап. інвестиції'!B6</f>
        <v>4000</v>
      </c>
      <c r="C58" s="196">
        <f>'4. Кап. інвестиції'!C6</f>
        <v>48357</v>
      </c>
      <c r="D58" s="196">
        <f>'4. Кап. інвестиції'!D6</f>
        <v>47304</v>
      </c>
      <c r="E58" s="196">
        <f>'4. Кап. інвестиції'!E6</f>
        <v>15739</v>
      </c>
      <c r="F58" s="197">
        <f>E58-D58</f>
        <v>-31565</v>
      </c>
      <c r="G58" s="198">
        <f>E58*100/D58</f>
        <v>33.272027735498057</v>
      </c>
    </row>
    <row r="59" spans="1:7">
      <c r="A59" s="395" t="s">
        <v>215</v>
      </c>
      <c r="B59" s="395"/>
      <c r="C59" s="395"/>
      <c r="D59" s="395"/>
      <c r="E59" s="395"/>
      <c r="F59" s="395"/>
      <c r="G59" s="395"/>
    </row>
    <row r="60" spans="1:7">
      <c r="A60" s="202" t="s">
        <v>173</v>
      </c>
      <c r="B60" s="184">
        <f>' 5. Коефіцієнти'!B9</f>
        <v>5020</v>
      </c>
      <c r="C60" s="329">
        <f>'1. Фін результат'!C120/'фінплан - зведені показники'!C67</f>
        <v>-6.3286480671507633E-2</v>
      </c>
      <c r="D60" s="329">
        <f>'1. Фін результат'!D120/'фінплан - зведені показники'!D67</f>
        <v>-3.9674851136474801E-2</v>
      </c>
      <c r="E60" s="329">
        <f>' 5. Коефіцієнти'!E9</f>
        <v>-3.9481107186248823E-2</v>
      </c>
      <c r="F60" s="197">
        <f t="shared" ref="F60:F62" si="3">E60-D60</f>
        <v>1.9374395022597746E-4</v>
      </c>
      <c r="G60" s="198">
        <f>E60*100/D60</f>
        <v>99.511670630950746</v>
      </c>
    </row>
    <row r="61" spans="1:7">
      <c r="A61" s="202" t="s">
        <v>169</v>
      </c>
      <c r="B61" s="184">
        <f>' 5. Коефіцієнти'!B10</f>
        <v>5030</v>
      </c>
      <c r="C61" s="329">
        <f>'1. Фін результат'!C120/'фінплан - зведені показники'!C73</f>
        <v>-6.3422757861528165E-2</v>
      </c>
      <c r="D61" s="329">
        <f>'1. Фін результат'!D120/'фінплан - зведені показники'!D73</f>
        <v>-3.9674851136474801E-2</v>
      </c>
      <c r="E61" s="329">
        <f>' 5. Коефіцієнти'!E10</f>
        <v>-4.004349200718698E-2</v>
      </c>
      <c r="F61" s="197">
        <f t="shared" si="3"/>
        <v>-3.6864087071217938E-4</v>
      </c>
      <c r="G61" s="198">
        <f>E61*100/D61</f>
        <v>100.92915501924409</v>
      </c>
    </row>
    <row r="62" spans="1:7">
      <c r="A62" s="202" t="s">
        <v>232</v>
      </c>
      <c r="B62" s="184">
        <f>' 5. Коефіцієнти'!B14</f>
        <v>5110</v>
      </c>
      <c r="C62" s="329">
        <f>' 5. Коефіцієнти'!D14</f>
        <v>464.39525691699606</v>
      </c>
      <c r="D62" s="329">
        <f>D73/D70</f>
        <v>14.084488888888888</v>
      </c>
      <c r="E62" s="329">
        <f>' 5. Коефіцієнти'!E14</f>
        <v>70.20300996102209</v>
      </c>
      <c r="F62" s="197">
        <f t="shared" si="3"/>
        <v>56.118521072133206</v>
      </c>
      <c r="G62" s="198">
        <f>E62*100/D62</f>
        <v>498.44201315962937</v>
      </c>
    </row>
    <row r="63" spans="1:7">
      <c r="A63" s="388" t="s">
        <v>214</v>
      </c>
      <c r="B63" s="389"/>
      <c r="C63" s="389"/>
      <c r="D63" s="389"/>
      <c r="E63" s="389"/>
      <c r="F63" s="389"/>
      <c r="G63" s="390"/>
    </row>
    <row r="64" spans="1:7">
      <c r="A64" s="202" t="s">
        <v>149</v>
      </c>
      <c r="B64" s="184">
        <v>6000</v>
      </c>
      <c r="C64" s="196">
        <v>338116</v>
      </c>
      <c r="D64" s="196">
        <v>627698</v>
      </c>
      <c r="E64" s="196">
        <v>645974</v>
      </c>
      <c r="F64" s="197">
        <f>E64-D64</f>
        <v>18276</v>
      </c>
      <c r="G64" s="198">
        <f>E64*100/D64</f>
        <v>102.91159124292255</v>
      </c>
    </row>
    <row r="65" spans="1:7">
      <c r="A65" s="202" t="s">
        <v>150</v>
      </c>
      <c r="B65" s="184">
        <v>6010</v>
      </c>
      <c r="C65" s="196">
        <v>15119</v>
      </c>
      <c r="D65" s="196">
        <v>6104</v>
      </c>
      <c r="E65" s="196">
        <v>11657</v>
      </c>
      <c r="F65" s="197">
        <f t="shared" ref="F65:F73" si="4">E65-D65</f>
        <v>5553</v>
      </c>
      <c r="G65" s="198">
        <f t="shared" ref="G65:G73" si="5">E65*100/D65</f>
        <v>190.97313237221493</v>
      </c>
    </row>
    <row r="66" spans="1:7">
      <c r="A66" s="202" t="s">
        <v>269</v>
      </c>
      <c r="B66" s="184">
        <v>6020</v>
      </c>
      <c r="C66" s="196">
        <f>'3. Рух грошових коштів'!C115</f>
        <v>12724</v>
      </c>
      <c r="D66" s="196">
        <f>'3. Рух грошових коштів'!D115</f>
        <v>4707</v>
      </c>
      <c r="E66" s="196">
        <f>'3. Рух грошових коштів'!E115</f>
        <v>7738</v>
      </c>
      <c r="F66" s="197">
        <f t="shared" si="4"/>
        <v>3031</v>
      </c>
      <c r="G66" s="198">
        <f t="shared" si="5"/>
        <v>164.39345655406842</v>
      </c>
    </row>
    <row r="67" spans="1:7" s="89" customFormat="1">
      <c r="A67" s="201" t="s">
        <v>267</v>
      </c>
      <c r="B67" s="184">
        <v>6030</v>
      </c>
      <c r="C67" s="196">
        <f>SUM(C64:C65)</f>
        <v>353235</v>
      </c>
      <c r="D67" s="196">
        <f>SUM(D64:D65)</f>
        <v>633802</v>
      </c>
      <c r="E67" s="196">
        <f>E64+E65</f>
        <v>657631</v>
      </c>
      <c r="F67" s="197">
        <f t="shared" si="4"/>
        <v>23829</v>
      </c>
      <c r="G67" s="198">
        <f t="shared" si="5"/>
        <v>103.75969151249129</v>
      </c>
    </row>
    <row r="68" spans="1:7">
      <c r="A68" s="202" t="s">
        <v>171</v>
      </c>
      <c r="B68" s="184">
        <v>6040</v>
      </c>
      <c r="C68" s="196">
        <v>369</v>
      </c>
      <c r="D68" s="196">
        <v>45000</v>
      </c>
      <c r="E68" s="196">
        <v>369</v>
      </c>
      <c r="F68" s="197">
        <f t="shared" si="4"/>
        <v>-44631</v>
      </c>
      <c r="G68" s="198">
        <f t="shared" si="5"/>
        <v>0.82</v>
      </c>
    </row>
    <row r="69" spans="1:7">
      <c r="A69" s="202" t="s">
        <v>172</v>
      </c>
      <c r="B69" s="184">
        <v>6050</v>
      </c>
      <c r="C69" s="196">
        <v>390</v>
      </c>
      <c r="D69" s="196"/>
      <c r="E69" s="196">
        <v>8867</v>
      </c>
      <c r="F69" s="197">
        <f t="shared" si="4"/>
        <v>8867</v>
      </c>
      <c r="G69" s="198">
        <f>E69*100</f>
        <v>886700</v>
      </c>
    </row>
    <row r="70" spans="1:7" s="89" customFormat="1">
      <c r="A70" s="201" t="s">
        <v>268</v>
      </c>
      <c r="B70" s="184">
        <v>6060</v>
      </c>
      <c r="C70" s="196">
        <f>C68+C69</f>
        <v>759</v>
      </c>
      <c r="D70" s="196">
        <f>SUM(D68:D69)</f>
        <v>45000</v>
      </c>
      <c r="E70" s="196">
        <f>E68+E69</f>
        <v>9236</v>
      </c>
      <c r="F70" s="197">
        <f t="shared" si="4"/>
        <v>-35764</v>
      </c>
      <c r="G70" s="198">
        <f t="shared" si="5"/>
        <v>20.524444444444445</v>
      </c>
    </row>
    <row r="71" spans="1:7">
      <c r="A71" s="202" t="s">
        <v>270</v>
      </c>
      <c r="B71" s="184">
        <v>6070</v>
      </c>
      <c r="C71" s="196"/>
      <c r="D71" s="196"/>
      <c r="E71" s="196"/>
      <c r="F71" s="197"/>
      <c r="G71" s="198"/>
    </row>
    <row r="72" spans="1:7">
      <c r="A72" s="202" t="s">
        <v>271</v>
      </c>
      <c r="B72" s="184">
        <v>6080</v>
      </c>
      <c r="C72" s="196"/>
      <c r="D72" s="196"/>
      <c r="E72" s="196"/>
      <c r="F72" s="197"/>
      <c r="G72" s="198"/>
    </row>
    <row r="73" spans="1:7" s="89" customFormat="1">
      <c r="A73" s="201" t="s">
        <v>151</v>
      </c>
      <c r="B73" s="184">
        <v>6090</v>
      </c>
      <c r="C73" s="196">
        <v>352476</v>
      </c>
      <c r="D73" s="196">
        <v>633802</v>
      </c>
      <c r="E73" s="196">
        <v>648395</v>
      </c>
      <c r="F73" s="197">
        <f t="shared" si="4"/>
        <v>14593</v>
      </c>
      <c r="G73" s="198">
        <f t="shared" si="5"/>
        <v>102.3024540787186</v>
      </c>
    </row>
    <row r="74" spans="1:7">
      <c r="A74" s="205"/>
    </row>
    <row r="75" spans="1:7" ht="25.5">
      <c r="A75" s="206" t="s">
        <v>402</v>
      </c>
      <c r="B75" s="207"/>
      <c r="C75" s="400"/>
      <c r="D75" s="400"/>
      <c r="E75" s="175"/>
      <c r="F75" s="400" t="s">
        <v>641</v>
      </c>
      <c r="G75" s="400"/>
    </row>
    <row r="76" spans="1:7" s="85" customFormat="1">
      <c r="A76" s="176" t="s">
        <v>389</v>
      </c>
      <c r="B76" s="208"/>
      <c r="C76" s="406" t="s">
        <v>78</v>
      </c>
      <c r="D76" s="406"/>
      <c r="E76" s="175"/>
      <c r="F76" s="208" t="s">
        <v>102</v>
      </c>
      <c r="G76" s="208"/>
    </row>
    <row r="78" spans="1:7" ht="42.75" customHeight="1">
      <c r="A78" s="179"/>
    </row>
    <row r="79" spans="1:7" ht="113.25" customHeight="1">
      <c r="A79" s="385"/>
      <c r="B79" s="385"/>
      <c r="C79" s="385"/>
      <c r="D79" s="385"/>
      <c r="E79" s="385"/>
      <c r="F79" s="385"/>
      <c r="G79" s="385"/>
    </row>
    <row r="80" spans="1:7">
      <c r="A80" s="179"/>
    </row>
    <row r="81" spans="1:1">
      <c r="A81" s="179"/>
    </row>
    <row r="82" spans="1:1">
      <c r="A82" s="179"/>
    </row>
    <row r="83" spans="1:1">
      <c r="A83" s="179"/>
    </row>
    <row r="84" spans="1:1">
      <c r="A84" s="179"/>
    </row>
    <row r="85" spans="1:1">
      <c r="A85" s="179"/>
    </row>
    <row r="86" spans="1:1">
      <c r="A86" s="179"/>
    </row>
    <row r="87" spans="1:1">
      <c r="A87" s="179"/>
    </row>
    <row r="88" spans="1:1">
      <c r="A88" s="179"/>
    </row>
    <row r="89" spans="1:1">
      <c r="A89" s="179"/>
    </row>
    <row r="90" spans="1:1">
      <c r="A90" s="179"/>
    </row>
    <row r="91" spans="1:1">
      <c r="A91" s="179"/>
    </row>
    <row r="92" spans="1:1">
      <c r="A92" s="179"/>
    </row>
    <row r="93" spans="1:1">
      <c r="A93" s="179"/>
    </row>
    <row r="94" spans="1:1">
      <c r="A94" s="179"/>
    </row>
    <row r="95" spans="1:1">
      <c r="A95" s="179"/>
    </row>
    <row r="96" spans="1:1">
      <c r="A96" s="179"/>
    </row>
    <row r="97" spans="1:1">
      <c r="A97" s="179"/>
    </row>
    <row r="98" spans="1:1">
      <c r="A98" s="179"/>
    </row>
    <row r="99" spans="1:1">
      <c r="A99" s="179"/>
    </row>
    <row r="100" spans="1:1">
      <c r="A100" s="179"/>
    </row>
    <row r="101" spans="1:1">
      <c r="A101" s="179"/>
    </row>
    <row r="102" spans="1:1">
      <c r="A102" s="179"/>
    </row>
    <row r="103" spans="1:1">
      <c r="A103" s="179"/>
    </row>
    <row r="104" spans="1:1">
      <c r="A104" s="179"/>
    </row>
    <row r="105" spans="1:1">
      <c r="A105" s="179"/>
    </row>
    <row r="106" spans="1:1">
      <c r="A106" s="179"/>
    </row>
    <row r="107" spans="1:1">
      <c r="A107" s="179"/>
    </row>
    <row r="108" spans="1:1">
      <c r="A108" s="179"/>
    </row>
    <row r="109" spans="1:1">
      <c r="A109" s="179"/>
    </row>
    <row r="110" spans="1:1">
      <c r="A110" s="179"/>
    </row>
    <row r="111" spans="1:1">
      <c r="A111" s="179"/>
    </row>
    <row r="112" spans="1:1">
      <c r="A112" s="179"/>
    </row>
    <row r="113" spans="1:1">
      <c r="A113" s="179"/>
    </row>
    <row r="114" spans="1:1">
      <c r="A114" s="179"/>
    </row>
    <row r="115" spans="1:1">
      <c r="A115" s="179"/>
    </row>
    <row r="116" spans="1:1">
      <c r="A116" s="179"/>
    </row>
    <row r="117" spans="1:1">
      <c r="A117" s="179"/>
    </row>
    <row r="118" spans="1:1">
      <c r="A118" s="179"/>
    </row>
    <row r="119" spans="1:1">
      <c r="A119" s="179"/>
    </row>
    <row r="120" spans="1:1">
      <c r="A120" s="179"/>
    </row>
    <row r="121" spans="1:1">
      <c r="A121" s="179"/>
    </row>
    <row r="122" spans="1:1">
      <c r="A122" s="179"/>
    </row>
    <row r="123" spans="1:1">
      <c r="A123" s="179"/>
    </row>
    <row r="124" spans="1:1">
      <c r="A124" s="179"/>
    </row>
    <row r="125" spans="1:1">
      <c r="A125" s="179"/>
    </row>
    <row r="126" spans="1:1">
      <c r="A126" s="179"/>
    </row>
    <row r="127" spans="1:1">
      <c r="A127" s="179"/>
    </row>
    <row r="128" spans="1:1">
      <c r="A128" s="179"/>
    </row>
    <row r="129" spans="1:1">
      <c r="A129" s="179"/>
    </row>
    <row r="130" spans="1:1">
      <c r="A130" s="179"/>
    </row>
    <row r="131" spans="1:1">
      <c r="A131" s="179"/>
    </row>
    <row r="132" spans="1:1">
      <c r="A132" s="179"/>
    </row>
    <row r="133" spans="1:1">
      <c r="A133" s="179"/>
    </row>
    <row r="134" spans="1:1">
      <c r="A134" s="179"/>
    </row>
    <row r="135" spans="1:1">
      <c r="A135" s="179"/>
    </row>
    <row r="136" spans="1:1">
      <c r="A136" s="179"/>
    </row>
    <row r="137" spans="1:1">
      <c r="A137" s="179"/>
    </row>
    <row r="138" spans="1:1">
      <c r="A138" s="179"/>
    </row>
    <row r="139" spans="1:1">
      <c r="A139" s="179"/>
    </row>
    <row r="140" spans="1:1">
      <c r="A140" s="179"/>
    </row>
    <row r="141" spans="1:1">
      <c r="A141" s="179"/>
    </row>
    <row r="142" spans="1:1">
      <c r="A142" s="179"/>
    </row>
    <row r="143" spans="1:1">
      <c r="A143" s="179"/>
    </row>
    <row r="144" spans="1:1">
      <c r="A144" s="179"/>
    </row>
    <row r="145" spans="1:1">
      <c r="A145" s="179"/>
    </row>
    <row r="146" spans="1:1">
      <c r="A146" s="179"/>
    </row>
    <row r="147" spans="1:1">
      <c r="A147" s="179"/>
    </row>
    <row r="148" spans="1:1">
      <c r="A148" s="179"/>
    </row>
    <row r="149" spans="1:1">
      <c r="A149" s="179"/>
    </row>
    <row r="150" spans="1:1">
      <c r="A150" s="179"/>
    </row>
    <row r="151" spans="1:1">
      <c r="A151" s="179"/>
    </row>
    <row r="152" spans="1:1">
      <c r="A152" s="179"/>
    </row>
    <row r="153" spans="1:1">
      <c r="A153" s="179"/>
    </row>
    <row r="154" spans="1:1">
      <c r="A154" s="179"/>
    </row>
    <row r="155" spans="1:1">
      <c r="A155" s="179"/>
    </row>
    <row r="156" spans="1:1">
      <c r="A156" s="179"/>
    </row>
    <row r="157" spans="1:1">
      <c r="A157" s="179"/>
    </row>
    <row r="158" spans="1:1">
      <c r="A158" s="179"/>
    </row>
    <row r="159" spans="1:1">
      <c r="A159" s="179"/>
    </row>
    <row r="160" spans="1:1">
      <c r="A160" s="179"/>
    </row>
    <row r="161" spans="1:1">
      <c r="A161" s="179"/>
    </row>
    <row r="162" spans="1:1">
      <c r="A162" s="179"/>
    </row>
    <row r="163" spans="1:1">
      <c r="A163" s="179"/>
    </row>
    <row r="164" spans="1:1">
      <c r="A164" s="179"/>
    </row>
    <row r="165" spans="1:1">
      <c r="A165" s="179"/>
    </row>
    <row r="166" spans="1:1">
      <c r="A166" s="179"/>
    </row>
    <row r="167" spans="1:1">
      <c r="A167" s="179"/>
    </row>
    <row r="168" spans="1:1">
      <c r="A168" s="179"/>
    </row>
    <row r="169" spans="1:1">
      <c r="A169" s="179"/>
    </row>
    <row r="170" spans="1:1">
      <c r="A170" s="179"/>
    </row>
    <row r="171" spans="1:1">
      <c r="A171" s="179"/>
    </row>
    <row r="172" spans="1:1">
      <c r="A172" s="179"/>
    </row>
    <row r="173" spans="1:1">
      <c r="A173" s="179"/>
    </row>
    <row r="174" spans="1:1">
      <c r="A174" s="179"/>
    </row>
    <row r="175" spans="1:1">
      <c r="A175" s="179"/>
    </row>
    <row r="176" spans="1:1">
      <c r="A176" s="179"/>
    </row>
    <row r="177" spans="1:1">
      <c r="A177" s="179"/>
    </row>
    <row r="178" spans="1:1">
      <c r="A178" s="179"/>
    </row>
    <row r="179" spans="1:1">
      <c r="A179" s="179"/>
    </row>
    <row r="180" spans="1:1">
      <c r="A180" s="179"/>
    </row>
    <row r="181" spans="1:1">
      <c r="A181" s="179"/>
    </row>
    <row r="182" spans="1:1">
      <c r="A182" s="179"/>
    </row>
    <row r="183" spans="1:1">
      <c r="A183" s="179"/>
    </row>
    <row r="184" spans="1:1">
      <c r="A184" s="179"/>
    </row>
    <row r="185" spans="1:1">
      <c r="A185" s="179"/>
    </row>
    <row r="186" spans="1:1">
      <c r="A186" s="179"/>
    </row>
    <row r="187" spans="1:1">
      <c r="A187" s="179"/>
    </row>
    <row r="188" spans="1:1">
      <c r="A188" s="179"/>
    </row>
    <row r="189" spans="1:1">
      <c r="A189" s="179"/>
    </row>
    <row r="190" spans="1:1">
      <c r="A190" s="179"/>
    </row>
    <row r="191" spans="1:1">
      <c r="A191" s="179"/>
    </row>
    <row r="192" spans="1:1">
      <c r="A192" s="179"/>
    </row>
    <row r="193" spans="1:1">
      <c r="A193" s="179"/>
    </row>
    <row r="194" spans="1:1">
      <c r="A194" s="179"/>
    </row>
    <row r="195" spans="1:1">
      <c r="A195" s="179"/>
    </row>
    <row r="196" spans="1:1">
      <c r="A196" s="179"/>
    </row>
    <row r="197" spans="1:1">
      <c r="A197" s="179"/>
    </row>
    <row r="198" spans="1:1">
      <c r="A198" s="179"/>
    </row>
    <row r="199" spans="1:1">
      <c r="A199" s="179"/>
    </row>
    <row r="200" spans="1:1">
      <c r="A200" s="179"/>
    </row>
    <row r="201" spans="1:1">
      <c r="A201" s="179"/>
    </row>
    <row r="202" spans="1:1">
      <c r="A202" s="179"/>
    </row>
    <row r="203" spans="1:1">
      <c r="A203" s="179"/>
    </row>
    <row r="204" spans="1:1">
      <c r="A204" s="179"/>
    </row>
    <row r="205" spans="1:1">
      <c r="A205" s="179"/>
    </row>
    <row r="206" spans="1:1">
      <c r="A206" s="179"/>
    </row>
    <row r="207" spans="1:1">
      <c r="A207" s="179"/>
    </row>
    <row r="208" spans="1:1">
      <c r="A208" s="179"/>
    </row>
    <row r="209" spans="1:1">
      <c r="A209" s="179"/>
    </row>
    <row r="210" spans="1:1">
      <c r="A210" s="179"/>
    </row>
    <row r="211" spans="1:1">
      <c r="A211" s="179"/>
    </row>
    <row r="212" spans="1:1">
      <c r="A212" s="179"/>
    </row>
    <row r="213" spans="1:1">
      <c r="A213" s="179"/>
    </row>
    <row r="214" spans="1:1">
      <c r="A214" s="179"/>
    </row>
    <row r="215" spans="1:1">
      <c r="A215" s="179"/>
    </row>
    <row r="216" spans="1:1">
      <c r="A216" s="179"/>
    </row>
    <row r="217" spans="1:1">
      <c r="A217" s="179"/>
    </row>
    <row r="218" spans="1:1">
      <c r="A218" s="179"/>
    </row>
    <row r="219" spans="1:1">
      <c r="A219" s="179"/>
    </row>
    <row r="220" spans="1:1">
      <c r="A220" s="179"/>
    </row>
    <row r="221" spans="1:1">
      <c r="A221" s="179"/>
    </row>
    <row r="222" spans="1:1">
      <c r="A222" s="179"/>
    </row>
    <row r="223" spans="1:1">
      <c r="A223" s="179"/>
    </row>
    <row r="224" spans="1:1">
      <c r="A224" s="179"/>
    </row>
    <row r="225" spans="1:1">
      <c r="A225" s="179"/>
    </row>
    <row r="226" spans="1:1">
      <c r="A226" s="179"/>
    </row>
    <row r="227" spans="1:1">
      <c r="A227" s="179"/>
    </row>
    <row r="228" spans="1:1">
      <c r="A228" s="179"/>
    </row>
    <row r="229" spans="1:1">
      <c r="A229" s="179"/>
    </row>
    <row r="230" spans="1:1">
      <c r="A230" s="179"/>
    </row>
    <row r="231" spans="1:1">
      <c r="A231" s="179"/>
    </row>
    <row r="232" spans="1:1">
      <c r="A232" s="179"/>
    </row>
    <row r="233" spans="1:1">
      <c r="A233" s="179"/>
    </row>
    <row r="234" spans="1:1">
      <c r="A234" s="179"/>
    </row>
    <row r="235" spans="1:1">
      <c r="A235" s="179"/>
    </row>
    <row r="236" spans="1:1">
      <c r="A236" s="179"/>
    </row>
    <row r="237" spans="1:1">
      <c r="A237" s="179"/>
    </row>
    <row r="238" spans="1:1">
      <c r="A238" s="179"/>
    </row>
    <row r="239" spans="1:1">
      <c r="A239" s="179"/>
    </row>
    <row r="240" spans="1:1">
      <c r="A240" s="179"/>
    </row>
    <row r="241" spans="1:1">
      <c r="A241" s="179"/>
    </row>
    <row r="242" spans="1:1">
      <c r="A242" s="179"/>
    </row>
    <row r="243" spans="1:1">
      <c r="A243" s="179"/>
    </row>
    <row r="244" spans="1:1">
      <c r="A244" s="179"/>
    </row>
    <row r="245" spans="1:1">
      <c r="A245" s="179"/>
    </row>
  </sheetData>
  <mergeCells count="35">
    <mergeCell ref="D24:G24"/>
    <mergeCell ref="A43:G43"/>
    <mergeCell ref="C24:C25"/>
    <mergeCell ref="C76:D76"/>
    <mergeCell ref="A24:A25"/>
    <mergeCell ref="C75:D75"/>
    <mergeCell ref="F75:G75"/>
    <mergeCell ref="B10:D10"/>
    <mergeCell ref="B11:D11"/>
    <mergeCell ref="B12:D12"/>
    <mergeCell ref="E13:F13"/>
    <mergeCell ref="B13:D13"/>
    <mergeCell ref="A23:G23"/>
    <mergeCell ref="B14:D14"/>
    <mergeCell ref="E14:F14"/>
    <mergeCell ref="B17:D17"/>
    <mergeCell ref="B18:D18"/>
    <mergeCell ref="B15:D15"/>
    <mergeCell ref="B16:D16"/>
    <mergeCell ref="A79:G79"/>
    <mergeCell ref="E2:G5"/>
    <mergeCell ref="A63:G63"/>
    <mergeCell ref="A27:G27"/>
    <mergeCell ref="B24:B25"/>
    <mergeCell ref="B6:D6"/>
    <mergeCell ref="B7:D7"/>
    <mergeCell ref="B8:D8"/>
    <mergeCell ref="B9:D9"/>
    <mergeCell ref="A22:G22"/>
    <mergeCell ref="A59:G59"/>
    <mergeCell ref="A50:G50"/>
    <mergeCell ref="A57:G57"/>
    <mergeCell ref="A21:G21"/>
    <mergeCell ref="A19:G19"/>
    <mergeCell ref="A20:G20"/>
  </mergeCells>
  <phoneticPr fontId="3" type="noConversion"/>
  <pageMargins left="0.78740157480314965" right="0.39370078740157483" top="0.59055118110236227" bottom="0.59055118110236227" header="0.31496062992125984" footer="0.19685039370078741"/>
  <pageSetup paperSize="9" scale="43" orientation="portrait" verticalDpi="300" copies="4" r:id="rId1"/>
  <headerFooter alignWithMargins="0"/>
  <rowBreaks count="1" manualBreakCount="1">
    <brk id="56" max="6" man="1"/>
  </rowBreaks>
  <drawing r:id="rId2"/>
</worksheet>
</file>

<file path=xl/worksheets/sheet10.xml><?xml version="1.0" encoding="utf-8"?>
<worksheet xmlns="http://schemas.openxmlformats.org/spreadsheetml/2006/main" xmlns:r="http://schemas.openxmlformats.org/officeDocument/2006/relationships">
  <dimension ref="L8:L21"/>
  <sheetViews>
    <sheetView workbookViewId="0">
      <selection activeCell="L11" sqref="L11:L21"/>
    </sheetView>
  </sheetViews>
  <sheetFormatPr defaultRowHeight="12.75"/>
  <sheetData>
    <row r="8" spans="12:12" ht="18.75" customHeight="1"/>
    <row r="9" spans="12:12" ht="18.75" customHeight="1"/>
    <row r="10" spans="12:12" ht="18.75" customHeight="1"/>
    <row r="11" spans="12:12" ht="18.75" customHeight="1">
      <c r="L11" s="378" t="s">
        <v>676</v>
      </c>
    </row>
    <row r="12" spans="12:12" ht="18.75" customHeight="1">
      <c r="L12" s="378" t="s">
        <v>592</v>
      </c>
    </row>
    <row r="13" spans="12:12" ht="18.75" customHeight="1">
      <c r="L13" s="378" t="s">
        <v>559</v>
      </c>
    </row>
    <row r="14" spans="12:12" ht="18.75" customHeight="1">
      <c r="L14" s="378" t="s">
        <v>560</v>
      </c>
    </row>
    <row r="15" spans="12:12" ht="18.75" customHeight="1">
      <c r="L15" s="378" t="s">
        <v>599</v>
      </c>
    </row>
    <row r="16" spans="12:12" ht="18.75" customHeight="1">
      <c r="L16" s="378" t="s">
        <v>651</v>
      </c>
    </row>
    <row r="17" spans="12:12" ht="18.75" customHeight="1">
      <c r="L17" s="378" t="s">
        <v>561</v>
      </c>
    </row>
    <row r="18" spans="12:12" ht="18.75" customHeight="1">
      <c r="L18" s="379" t="s">
        <v>677</v>
      </c>
    </row>
    <row r="19" spans="12:12" ht="18.75" customHeight="1">
      <c r="L19" s="378" t="s">
        <v>600</v>
      </c>
    </row>
    <row r="20" spans="12:12" ht="18.75" customHeight="1">
      <c r="L20" s="379" t="s">
        <v>601</v>
      </c>
    </row>
    <row r="21" spans="12:12" ht="18.75" customHeight="1">
      <c r="L21" s="378" t="s">
        <v>615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enableFormatConditionsCalculation="0">
    <tabColor rgb="FFFFFF00"/>
    <pageSetUpPr fitToPage="1"/>
  </sheetPr>
  <dimension ref="A1:I371"/>
  <sheetViews>
    <sheetView tabSelected="1" topLeftCell="A3" zoomScale="90" zoomScaleNormal="90" zoomScaleSheetLayoutView="90" workbookViewId="0">
      <pane ySplit="5" topLeftCell="A140" activePane="bottomLeft" state="frozen"/>
      <selection activeCell="A3" sqref="A3"/>
      <selection pane="bottomLeft" activeCell="E141" sqref="E141"/>
    </sheetView>
  </sheetViews>
  <sheetFormatPr defaultRowHeight="20.25" outlineLevelRow="1"/>
  <cols>
    <col min="1" max="1" width="75.42578125" style="209" customWidth="1"/>
    <col min="2" max="2" width="12" style="250" customWidth="1"/>
    <col min="3" max="3" width="17" style="250" customWidth="1"/>
    <col min="4" max="4" width="14.5703125" style="250" customWidth="1"/>
    <col min="5" max="5" width="13.5703125" style="296" customWidth="1"/>
    <col min="6" max="6" width="13" style="250" customWidth="1"/>
    <col min="7" max="7" width="17.5703125" style="250" customWidth="1"/>
    <col min="8" max="8" width="25.7109375" style="250" customWidth="1"/>
    <col min="9" max="9" width="10" style="10" bestFit="1" customWidth="1"/>
    <col min="10" max="16384" width="9.140625" style="10"/>
  </cols>
  <sheetData>
    <row r="1" spans="1:8" hidden="1" outlineLevel="1">
      <c r="B1" s="210"/>
      <c r="C1" s="210"/>
      <c r="D1" s="210"/>
      <c r="E1" s="210"/>
      <c r="F1" s="210"/>
      <c r="G1" s="210"/>
      <c r="H1" s="211" t="s">
        <v>240</v>
      </c>
    </row>
    <row r="2" spans="1:8" hidden="1" outlineLevel="1">
      <c r="B2" s="210"/>
      <c r="C2" s="210"/>
      <c r="D2" s="210"/>
      <c r="E2" s="210"/>
      <c r="F2" s="210"/>
      <c r="G2" s="210"/>
      <c r="H2" s="211" t="s">
        <v>224</v>
      </c>
    </row>
    <row r="3" spans="1:8" s="90" customFormat="1" ht="22.5" collapsed="1">
      <c r="A3" s="413" t="s">
        <v>375</v>
      </c>
      <c r="B3" s="413"/>
      <c r="C3" s="413"/>
      <c r="D3" s="413"/>
      <c r="E3" s="413"/>
      <c r="F3" s="413"/>
      <c r="G3" s="413"/>
      <c r="H3" s="413"/>
    </row>
    <row r="4" spans="1:8" s="90" customFormat="1" ht="25.5" customHeight="1">
      <c r="A4" s="418" t="s">
        <v>286</v>
      </c>
      <c r="B4" s="419" t="s">
        <v>18</v>
      </c>
      <c r="C4" s="420" t="s">
        <v>384</v>
      </c>
      <c r="D4" s="418" t="s">
        <v>355</v>
      </c>
      <c r="E4" s="418"/>
      <c r="F4" s="418"/>
      <c r="G4" s="418"/>
      <c r="H4" s="418"/>
    </row>
    <row r="5" spans="1:8" s="90" customFormat="1" ht="121.5">
      <c r="A5" s="418"/>
      <c r="B5" s="419"/>
      <c r="C5" s="421"/>
      <c r="D5" s="337" t="s">
        <v>264</v>
      </c>
      <c r="E5" s="337" t="s">
        <v>247</v>
      </c>
      <c r="F5" s="213" t="s">
        <v>383</v>
      </c>
      <c r="G5" s="213" t="s">
        <v>275</v>
      </c>
      <c r="H5" s="339" t="s">
        <v>273</v>
      </c>
    </row>
    <row r="6" spans="1:8" s="90" customFormat="1" ht="15" customHeight="1">
      <c r="A6" s="193">
        <v>1</v>
      </c>
      <c r="B6" s="194">
        <v>2</v>
      </c>
      <c r="C6" s="194">
        <v>3</v>
      </c>
      <c r="D6" s="194">
        <v>4</v>
      </c>
      <c r="E6" s="194">
        <v>5</v>
      </c>
      <c r="F6" s="194">
        <v>6</v>
      </c>
      <c r="G6" s="194">
        <v>7</v>
      </c>
      <c r="H6" s="194">
        <v>8</v>
      </c>
    </row>
    <row r="7" spans="1:8" s="91" customFormat="1" ht="26.25" customHeight="1">
      <c r="A7" s="408" t="s">
        <v>272</v>
      </c>
      <c r="B7" s="409"/>
      <c r="C7" s="409"/>
      <c r="D7" s="409"/>
      <c r="E7" s="409"/>
      <c r="F7" s="409"/>
      <c r="G7" s="409"/>
      <c r="H7" s="410"/>
    </row>
    <row r="8" spans="1:8" s="91" customFormat="1" ht="45">
      <c r="A8" s="215" t="s">
        <v>107</v>
      </c>
      <c r="B8" s="216">
        <v>1000</v>
      </c>
      <c r="C8" s="141">
        <f>SUM(C9:C11)</f>
        <v>740</v>
      </c>
      <c r="D8" s="141">
        <f>SUM(D9:D11)</f>
        <v>690</v>
      </c>
      <c r="E8" s="141">
        <f>SUM(E9:E11)</f>
        <v>123</v>
      </c>
      <c r="F8" s="165">
        <f>E8-D8</f>
        <v>-567</v>
      </c>
      <c r="G8" s="217">
        <f>E8*100/D8</f>
        <v>17.826086956521738</v>
      </c>
      <c r="H8" s="218"/>
    </row>
    <row r="9" spans="1:8" s="91" customFormat="1" ht="37.5">
      <c r="A9" s="219" t="s">
        <v>496</v>
      </c>
      <c r="B9" s="220" t="s">
        <v>497</v>
      </c>
      <c r="C9" s="320">
        <v>619</v>
      </c>
      <c r="D9" s="320">
        <v>630</v>
      </c>
      <c r="E9" s="320"/>
      <c r="F9" s="221">
        <f>E9-D9</f>
        <v>-630</v>
      </c>
      <c r="G9" s="217">
        <f>E9*100/D9</f>
        <v>0</v>
      </c>
      <c r="H9" s="222"/>
    </row>
    <row r="10" spans="1:8" s="91" customFormat="1" ht="22.5">
      <c r="A10" s="295" t="s">
        <v>572</v>
      </c>
      <c r="B10" s="220" t="s">
        <v>539</v>
      </c>
      <c r="C10" s="320">
        <v>104</v>
      </c>
      <c r="D10" s="320">
        <v>45</v>
      </c>
      <c r="E10" s="320">
        <v>100</v>
      </c>
      <c r="F10" s="221">
        <f>E10-D10</f>
        <v>55</v>
      </c>
      <c r="G10" s="217">
        <f>E10*100/D10</f>
        <v>222.22222222222223</v>
      </c>
      <c r="H10" s="222"/>
    </row>
    <row r="11" spans="1:8" s="91" customFormat="1" ht="22.5">
      <c r="A11" s="295" t="s">
        <v>620</v>
      </c>
      <c r="B11" s="220" t="s">
        <v>621</v>
      </c>
      <c r="C11" s="320">
        <v>17</v>
      </c>
      <c r="D11" s="320">
        <v>15</v>
      </c>
      <c r="E11" s="320">
        <v>23</v>
      </c>
      <c r="F11" s="221">
        <f>E11-D11</f>
        <v>8</v>
      </c>
      <c r="G11" s="217">
        <f>E11*100</f>
        <v>2300</v>
      </c>
      <c r="H11" s="222"/>
    </row>
    <row r="12" spans="1:8" s="90" customFormat="1" ht="45">
      <c r="A12" s="215" t="s">
        <v>125</v>
      </c>
      <c r="B12" s="216">
        <v>1010</v>
      </c>
      <c r="C12" s="141"/>
      <c r="D12" s="141"/>
      <c r="E12" s="141"/>
      <c r="F12" s="165"/>
      <c r="G12" s="217"/>
      <c r="H12" s="218"/>
    </row>
    <row r="13" spans="1:8" s="92" customFormat="1" ht="22.5">
      <c r="A13" s="215" t="s">
        <v>285</v>
      </c>
      <c r="B13" s="212">
        <v>1011</v>
      </c>
      <c r="C13" s="321"/>
      <c r="D13" s="321"/>
      <c r="E13" s="321"/>
      <c r="F13" s="223"/>
      <c r="G13" s="224"/>
      <c r="H13" s="225"/>
    </row>
    <row r="14" spans="1:8" s="92" customFormat="1" ht="22.5">
      <c r="A14" s="215" t="s">
        <v>65</v>
      </c>
      <c r="B14" s="212">
        <v>1012</v>
      </c>
      <c r="C14" s="321"/>
      <c r="D14" s="321"/>
      <c r="E14" s="321"/>
      <c r="F14" s="223"/>
      <c r="G14" s="224"/>
      <c r="H14" s="225"/>
    </row>
    <row r="15" spans="1:8" s="92" customFormat="1" ht="22.5">
      <c r="A15" s="215" t="s">
        <v>64</v>
      </c>
      <c r="B15" s="212">
        <v>1013</v>
      </c>
      <c r="C15" s="321"/>
      <c r="D15" s="321"/>
      <c r="E15" s="321"/>
      <c r="F15" s="223"/>
      <c r="G15" s="224"/>
      <c r="H15" s="225"/>
    </row>
    <row r="16" spans="1:8" s="92" customFormat="1" ht="22.5">
      <c r="A16" s="215" t="s">
        <v>40</v>
      </c>
      <c r="B16" s="212">
        <v>1014</v>
      </c>
      <c r="C16" s="321"/>
      <c r="D16" s="321"/>
      <c r="E16" s="321"/>
      <c r="F16" s="223"/>
      <c r="G16" s="224"/>
      <c r="H16" s="225"/>
    </row>
    <row r="17" spans="1:8" s="92" customFormat="1" ht="22.5">
      <c r="A17" s="215" t="s">
        <v>41</v>
      </c>
      <c r="B17" s="212">
        <v>1015</v>
      </c>
      <c r="C17" s="321"/>
      <c r="D17" s="321"/>
      <c r="E17" s="321"/>
      <c r="F17" s="223"/>
      <c r="G17" s="224"/>
      <c r="H17" s="225"/>
    </row>
    <row r="18" spans="1:8" s="92" customFormat="1" ht="67.5">
      <c r="A18" s="215" t="s">
        <v>261</v>
      </c>
      <c r="B18" s="212">
        <v>1016</v>
      </c>
      <c r="C18" s="321"/>
      <c r="D18" s="321"/>
      <c r="E18" s="321"/>
      <c r="F18" s="223"/>
      <c r="G18" s="224"/>
      <c r="H18" s="225"/>
    </row>
    <row r="19" spans="1:8" s="92" customFormat="1" ht="45">
      <c r="A19" s="215" t="s">
        <v>63</v>
      </c>
      <c r="B19" s="212">
        <v>1017</v>
      </c>
      <c r="C19" s="321"/>
      <c r="D19" s="321"/>
      <c r="E19" s="321"/>
      <c r="F19" s="223"/>
      <c r="G19" s="224"/>
      <c r="H19" s="225"/>
    </row>
    <row r="20" spans="1:8" s="92" customFormat="1" ht="22.5">
      <c r="A20" s="215" t="s">
        <v>123</v>
      </c>
      <c r="B20" s="212">
        <v>1018</v>
      </c>
      <c r="C20" s="321"/>
      <c r="D20" s="321"/>
      <c r="E20" s="321"/>
      <c r="F20" s="223"/>
      <c r="G20" s="224"/>
      <c r="H20" s="225"/>
    </row>
    <row r="21" spans="1:8" s="91" customFormat="1" ht="21.75">
      <c r="A21" s="226" t="s">
        <v>23</v>
      </c>
      <c r="B21" s="227">
        <v>1020</v>
      </c>
      <c r="C21" s="322">
        <f>C8-C12-C20</f>
        <v>740</v>
      </c>
      <c r="D21" s="322">
        <f>D8-D12-D20</f>
        <v>690</v>
      </c>
      <c r="E21" s="322">
        <f>E8-E12-E20</f>
        <v>123</v>
      </c>
      <c r="F21" s="167">
        <f>D21-E21</f>
        <v>567</v>
      </c>
      <c r="G21" s="168">
        <f>E21*100/D21</f>
        <v>17.826086956521738</v>
      </c>
      <c r="H21" s="228"/>
    </row>
    <row r="22" spans="1:8" s="90" customFormat="1" ht="42" customHeight="1">
      <c r="A22" s="215" t="s">
        <v>217</v>
      </c>
      <c r="B22" s="216">
        <v>1030</v>
      </c>
      <c r="C22" s="141">
        <f>SUM(C23:C25)</f>
        <v>142</v>
      </c>
      <c r="D22" s="141">
        <f>SUM(D23:D26)</f>
        <v>90</v>
      </c>
      <c r="E22" s="141">
        <f>SUM(E23:E26)</f>
        <v>1435</v>
      </c>
      <c r="F22" s="165">
        <f>E22-D22</f>
        <v>1345</v>
      </c>
      <c r="G22" s="217">
        <f>E22*100/D22</f>
        <v>1594.4444444444443</v>
      </c>
      <c r="H22" s="218"/>
    </row>
    <row r="23" spans="1:8" s="90" customFormat="1" ht="22.5">
      <c r="A23" s="215" t="s">
        <v>218</v>
      </c>
      <c r="B23" s="216">
        <v>1031</v>
      </c>
      <c r="C23" s="141"/>
      <c r="D23" s="141"/>
      <c r="E23" s="141"/>
      <c r="F23" s="165"/>
      <c r="G23" s="217"/>
      <c r="H23" s="218"/>
    </row>
    <row r="24" spans="1:8" s="90" customFormat="1" ht="22.5">
      <c r="A24" s="215" t="s">
        <v>472</v>
      </c>
      <c r="B24" s="216">
        <v>1032</v>
      </c>
      <c r="C24" s="141">
        <v>142</v>
      </c>
      <c r="D24" s="141">
        <v>90</v>
      </c>
      <c r="E24" s="141">
        <v>38</v>
      </c>
      <c r="F24" s="165">
        <f>E24-D24</f>
        <v>-52</v>
      </c>
      <c r="G24" s="217">
        <f>E24*100/D24</f>
        <v>42.222222222222221</v>
      </c>
      <c r="H24" s="218"/>
    </row>
    <row r="25" spans="1:8" s="90" customFormat="1" ht="22.5">
      <c r="A25" s="215" t="s">
        <v>557</v>
      </c>
      <c r="B25" s="216">
        <v>1033</v>
      </c>
      <c r="C25" s="141"/>
      <c r="D25" s="141"/>
      <c r="E25" s="141">
        <v>1</v>
      </c>
      <c r="F25" s="165"/>
      <c r="G25" s="217"/>
      <c r="H25" s="218"/>
    </row>
    <row r="26" spans="1:8" s="90" customFormat="1" ht="45">
      <c r="A26" s="215" t="s">
        <v>692</v>
      </c>
      <c r="B26" s="216">
        <v>1034</v>
      </c>
      <c r="C26" s="141"/>
      <c r="D26" s="141"/>
      <c r="E26" s="141">
        <v>1396</v>
      </c>
      <c r="F26" s="165">
        <f t="shared" ref="F26" si="0">E26-D26</f>
        <v>1396</v>
      </c>
      <c r="G26" s="217">
        <f>E26*100</f>
        <v>139600</v>
      </c>
      <c r="H26" s="218"/>
    </row>
    <row r="27" spans="1:8" s="90" customFormat="1" ht="22.5">
      <c r="A27" s="215" t="s">
        <v>227</v>
      </c>
      <c r="B27" s="216">
        <v>1040</v>
      </c>
      <c r="C27" s="141">
        <f>SUM(C28:C41,C45:C47,C52)+C49</f>
        <v>15140</v>
      </c>
      <c r="D27" s="141">
        <f>SUM(D28:D41,D45:D52)</f>
        <v>11221</v>
      </c>
      <c r="E27" s="141">
        <f>SUM(E30:E41,E45:E47,E49:E52)</f>
        <v>10151</v>
      </c>
      <c r="F27" s="165">
        <f>E27-D27</f>
        <v>-1070</v>
      </c>
      <c r="G27" s="217">
        <f>E27*100/D27</f>
        <v>90.46430799393994</v>
      </c>
      <c r="H27" s="218"/>
    </row>
    <row r="28" spans="1:8" s="90" customFormat="1" ht="45">
      <c r="A28" s="215" t="s">
        <v>106</v>
      </c>
      <c r="B28" s="216">
        <v>1041</v>
      </c>
      <c r="C28" s="141"/>
      <c r="D28" s="141"/>
      <c r="E28" s="141"/>
      <c r="F28" s="165"/>
      <c r="G28" s="217"/>
      <c r="H28" s="218"/>
    </row>
    <row r="29" spans="1:8" s="90" customFormat="1" ht="22.5">
      <c r="A29" s="215" t="s">
        <v>208</v>
      </c>
      <c r="B29" s="216">
        <v>1042</v>
      </c>
      <c r="C29" s="141"/>
      <c r="D29" s="141"/>
      <c r="E29" s="141"/>
      <c r="F29" s="165"/>
      <c r="G29" s="217"/>
      <c r="H29" s="218"/>
    </row>
    <row r="30" spans="1:8" s="90" customFormat="1" ht="22.5">
      <c r="A30" s="215" t="s">
        <v>62</v>
      </c>
      <c r="B30" s="216">
        <v>1043</v>
      </c>
      <c r="C30" s="141"/>
      <c r="D30" s="141"/>
      <c r="E30" s="141"/>
      <c r="F30" s="165"/>
      <c r="G30" s="217"/>
      <c r="H30" s="218"/>
    </row>
    <row r="31" spans="1:8" s="90" customFormat="1" ht="22.5">
      <c r="A31" s="215" t="s">
        <v>21</v>
      </c>
      <c r="B31" s="216">
        <v>1044</v>
      </c>
      <c r="C31" s="141"/>
      <c r="D31" s="141"/>
      <c r="E31" s="141"/>
      <c r="F31" s="165"/>
      <c r="G31" s="217"/>
      <c r="H31" s="218"/>
    </row>
    <row r="32" spans="1:8" s="90" customFormat="1" ht="22.5">
      <c r="A32" s="215" t="s">
        <v>22</v>
      </c>
      <c r="B32" s="216">
        <v>1045</v>
      </c>
      <c r="C32" s="141"/>
      <c r="D32" s="141"/>
      <c r="E32" s="141"/>
      <c r="F32" s="165"/>
      <c r="G32" s="217"/>
      <c r="H32" s="218"/>
    </row>
    <row r="33" spans="1:8" s="92" customFormat="1" ht="22.5">
      <c r="A33" s="215" t="s">
        <v>38</v>
      </c>
      <c r="B33" s="216">
        <v>1046</v>
      </c>
      <c r="C33" s="141"/>
      <c r="D33" s="141"/>
      <c r="E33" s="141"/>
      <c r="F33" s="165"/>
      <c r="G33" s="217"/>
      <c r="H33" s="218"/>
    </row>
    <row r="34" spans="1:8" s="92" customFormat="1" ht="22.5">
      <c r="A34" s="215" t="s">
        <v>39</v>
      </c>
      <c r="B34" s="216">
        <v>1047</v>
      </c>
      <c r="C34" s="141"/>
      <c r="D34" s="141"/>
      <c r="E34" s="141"/>
      <c r="F34" s="165"/>
      <c r="G34" s="217"/>
      <c r="H34" s="218"/>
    </row>
    <row r="35" spans="1:8" s="92" customFormat="1" ht="22.5">
      <c r="A35" s="215" t="s">
        <v>40</v>
      </c>
      <c r="B35" s="216">
        <v>1048</v>
      </c>
      <c r="C35" s="141">
        <v>7510</v>
      </c>
      <c r="D35" s="141">
        <v>7404</v>
      </c>
      <c r="E35" s="141">
        <v>7144</v>
      </c>
      <c r="F35" s="165">
        <f t="shared" ref="F35:F38" si="1">E35-D35</f>
        <v>-260</v>
      </c>
      <c r="G35" s="217">
        <f>E35*100/D35</f>
        <v>96.488384656942188</v>
      </c>
      <c r="H35" s="218"/>
    </row>
    <row r="36" spans="1:8" s="92" customFormat="1" ht="22.5">
      <c r="A36" s="215" t="s">
        <v>41</v>
      </c>
      <c r="B36" s="216">
        <v>1049</v>
      </c>
      <c r="C36" s="141">
        <v>1648</v>
      </c>
      <c r="D36" s="141">
        <v>1629</v>
      </c>
      <c r="E36" s="141">
        <v>1573</v>
      </c>
      <c r="F36" s="165">
        <f t="shared" si="1"/>
        <v>-56</v>
      </c>
      <c r="G36" s="217">
        <f t="shared" ref="G36:G38" si="2">E36*100/D36</f>
        <v>96.562308164518114</v>
      </c>
      <c r="H36" s="218"/>
    </row>
    <row r="37" spans="1:8" s="92" customFormat="1" ht="45">
      <c r="A37" s="215" t="s">
        <v>42</v>
      </c>
      <c r="B37" s="216">
        <v>1050</v>
      </c>
      <c r="C37" s="141">
        <v>163</v>
      </c>
      <c r="D37" s="141">
        <v>171</v>
      </c>
      <c r="E37" s="141">
        <v>190</v>
      </c>
      <c r="F37" s="165">
        <f t="shared" si="1"/>
        <v>19</v>
      </c>
      <c r="G37" s="217">
        <f t="shared" si="2"/>
        <v>111.11111111111111</v>
      </c>
      <c r="H37" s="218"/>
    </row>
    <row r="38" spans="1:8" s="92" customFormat="1" ht="47.25" customHeight="1">
      <c r="A38" s="215" t="s">
        <v>43</v>
      </c>
      <c r="B38" s="216">
        <v>1051</v>
      </c>
      <c r="C38" s="141">
        <v>497</v>
      </c>
      <c r="D38" s="141">
        <v>532</v>
      </c>
      <c r="E38" s="141">
        <v>520</v>
      </c>
      <c r="F38" s="165">
        <f t="shared" si="1"/>
        <v>-12</v>
      </c>
      <c r="G38" s="217">
        <f t="shared" si="2"/>
        <v>97.744360902255636</v>
      </c>
      <c r="H38" s="218"/>
    </row>
    <row r="39" spans="1:8" s="92" customFormat="1" ht="45">
      <c r="A39" s="215" t="s">
        <v>44</v>
      </c>
      <c r="B39" s="216">
        <v>1052</v>
      </c>
      <c r="C39" s="141"/>
      <c r="D39" s="141"/>
      <c r="E39" s="141"/>
      <c r="F39" s="165"/>
      <c r="G39" s="217"/>
      <c r="H39" s="218"/>
    </row>
    <row r="40" spans="1:8" s="92" customFormat="1" ht="45">
      <c r="A40" s="215" t="s">
        <v>45</v>
      </c>
      <c r="B40" s="216">
        <v>1053</v>
      </c>
      <c r="C40" s="141"/>
      <c r="D40" s="141"/>
      <c r="E40" s="141"/>
      <c r="F40" s="165"/>
      <c r="G40" s="217"/>
      <c r="H40" s="218"/>
    </row>
    <row r="41" spans="1:8" s="92" customFormat="1" ht="22.5">
      <c r="A41" s="215" t="s">
        <v>46</v>
      </c>
      <c r="B41" s="216">
        <v>1054</v>
      </c>
      <c r="C41" s="141">
        <f>SUM(C42:C44)</f>
        <v>4617</v>
      </c>
      <c r="D41" s="141">
        <f>SUM(D42:D44)</f>
        <v>390</v>
      </c>
      <c r="E41" s="141">
        <f>SUM(E42:E44)</f>
        <v>115</v>
      </c>
      <c r="F41" s="165">
        <f>E41-D41</f>
        <v>-275</v>
      </c>
      <c r="G41" s="217">
        <f>E41*100/D41</f>
        <v>29.487179487179485</v>
      </c>
      <c r="H41" s="218"/>
    </row>
    <row r="42" spans="1:8" s="92" customFormat="1" ht="22.5">
      <c r="A42" s="229" t="s">
        <v>498</v>
      </c>
      <c r="B42" s="161" t="s">
        <v>491</v>
      </c>
      <c r="C42" s="156">
        <v>4518</v>
      </c>
      <c r="D42" s="156"/>
      <c r="E42" s="156"/>
      <c r="F42" s="172"/>
      <c r="G42" s="164"/>
      <c r="H42" s="218"/>
    </row>
    <row r="43" spans="1:8" s="92" customFormat="1" ht="22.5">
      <c r="A43" s="229" t="s">
        <v>643</v>
      </c>
      <c r="B43" s="161" t="s">
        <v>492</v>
      </c>
      <c r="C43" s="156">
        <v>74</v>
      </c>
      <c r="D43" s="156">
        <v>300</v>
      </c>
      <c r="E43" s="156"/>
      <c r="F43" s="172">
        <f>E43-D43</f>
        <v>-300</v>
      </c>
      <c r="G43" s="164">
        <f>E43*100</f>
        <v>0</v>
      </c>
      <c r="H43" s="218"/>
    </row>
    <row r="44" spans="1:8" s="92" customFormat="1" ht="31.5">
      <c r="A44" s="294" t="s">
        <v>550</v>
      </c>
      <c r="B44" s="161" t="s">
        <v>606</v>
      </c>
      <c r="C44" s="156">
        <v>25</v>
      </c>
      <c r="D44" s="156">
        <v>90</v>
      </c>
      <c r="E44" s="156">
        <v>115</v>
      </c>
      <c r="F44" s="172">
        <f t="shared" ref="F44:F46" si="3">E44-D44</f>
        <v>25</v>
      </c>
      <c r="G44" s="164">
        <f t="shared" ref="G44:G46" si="4">E44*100/D44</f>
        <v>127.77777777777777</v>
      </c>
      <c r="H44" s="218"/>
    </row>
    <row r="45" spans="1:8" s="92" customFormat="1" ht="22.5">
      <c r="A45" s="215" t="s">
        <v>66</v>
      </c>
      <c r="B45" s="216">
        <v>1055</v>
      </c>
      <c r="C45" s="141"/>
      <c r="D45" s="141"/>
      <c r="E45" s="141"/>
      <c r="F45" s="172"/>
      <c r="G45" s="164"/>
      <c r="H45" s="218"/>
    </row>
    <row r="46" spans="1:8" s="92" customFormat="1" ht="22.5">
      <c r="A46" s="215" t="s">
        <v>47</v>
      </c>
      <c r="B46" s="216">
        <v>1056</v>
      </c>
      <c r="C46" s="141">
        <v>222</v>
      </c>
      <c r="D46" s="141">
        <v>300</v>
      </c>
      <c r="E46" s="141">
        <v>135</v>
      </c>
      <c r="F46" s="141">
        <f t="shared" si="3"/>
        <v>-165</v>
      </c>
      <c r="G46" s="164">
        <f t="shared" si="4"/>
        <v>45</v>
      </c>
      <c r="H46" s="218"/>
    </row>
    <row r="47" spans="1:8" s="92" customFormat="1" ht="22.5">
      <c r="A47" s="215" t="s">
        <v>573</v>
      </c>
      <c r="B47" s="216">
        <v>1057</v>
      </c>
      <c r="C47" s="141"/>
      <c r="D47" s="141"/>
      <c r="E47" s="141"/>
      <c r="F47" s="141"/>
      <c r="G47" s="164"/>
      <c r="H47" s="218"/>
    </row>
    <row r="48" spans="1:8" s="92" customFormat="1" ht="45">
      <c r="A48" s="215" t="s">
        <v>48</v>
      </c>
      <c r="B48" s="216">
        <v>1058</v>
      </c>
      <c r="C48" s="141"/>
      <c r="D48" s="141"/>
      <c r="E48" s="141"/>
      <c r="F48" s="141"/>
      <c r="G48" s="164"/>
      <c r="H48" s="218"/>
    </row>
    <row r="49" spans="1:8" s="92" customFormat="1" ht="45">
      <c r="A49" s="215" t="s">
        <v>49</v>
      </c>
      <c r="B49" s="216">
        <v>1059</v>
      </c>
      <c r="C49" s="141">
        <v>1</v>
      </c>
      <c r="D49" s="141"/>
      <c r="E49" s="141">
        <v>5</v>
      </c>
      <c r="F49" s="165">
        <f>D49-E49</f>
        <v>-5</v>
      </c>
      <c r="G49" s="164">
        <f>E49*100</f>
        <v>500</v>
      </c>
      <c r="H49" s="218"/>
    </row>
    <row r="50" spans="1:8" s="92" customFormat="1" ht="67.5">
      <c r="A50" s="215" t="s">
        <v>76</v>
      </c>
      <c r="B50" s="216">
        <v>1060</v>
      </c>
      <c r="C50" s="141"/>
      <c r="D50" s="141"/>
      <c r="E50" s="141"/>
      <c r="F50" s="165"/>
      <c r="G50" s="217"/>
      <c r="H50" s="218"/>
    </row>
    <row r="51" spans="1:8" s="92" customFormat="1" ht="22.5">
      <c r="A51" s="215" t="s">
        <v>50</v>
      </c>
      <c r="B51" s="216">
        <v>1061</v>
      </c>
      <c r="C51" s="141"/>
      <c r="D51" s="141"/>
      <c r="E51" s="141"/>
      <c r="F51" s="165"/>
      <c r="G51" s="217"/>
      <c r="H51" s="218"/>
    </row>
    <row r="52" spans="1:8" s="92" customFormat="1" ht="22.5">
      <c r="A52" s="215" t="s">
        <v>110</v>
      </c>
      <c r="B52" s="216">
        <v>1062</v>
      </c>
      <c r="C52" s="141">
        <f>SUM(C53:C63)</f>
        <v>482</v>
      </c>
      <c r="D52" s="141">
        <f>SUM(D53:D63)</f>
        <v>795</v>
      </c>
      <c r="E52" s="141">
        <f>SUM(E53:E63)</f>
        <v>469</v>
      </c>
      <c r="F52" s="165">
        <f>E52-D52</f>
        <v>-326</v>
      </c>
      <c r="G52" s="217">
        <f>E52*100/D52</f>
        <v>58.9937106918239</v>
      </c>
      <c r="H52" s="218"/>
    </row>
    <row r="53" spans="1:8" s="92" customFormat="1" ht="22.5">
      <c r="A53" s="231" t="s">
        <v>392</v>
      </c>
      <c r="B53" s="232" t="s">
        <v>393</v>
      </c>
      <c r="C53" s="163">
        <v>25</v>
      </c>
      <c r="D53" s="163">
        <v>113</v>
      </c>
      <c r="E53" s="156">
        <v>34</v>
      </c>
      <c r="F53" s="172">
        <f>E53-D53</f>
        <v>-79</v>
      </c>
      <c r="G53" s="164">
        <f>E53*100/D53</f>
        <v>30.088495575221238</v>
      </c>
      <c r="H53" s="218"/>
    </row>
    <row r="54" spans="1:8" s="92" customFormat="1" ht="22.5">
      <c r="A54" s="231" t="s">
        <v>394</v>
      </c>
      <c r="B54" s="232" t="s">
        <v>395</v>
      </c>
      <c r="C54" s="163">
        <v>99</v>
      </c>
      <c r="D54" s="163"/>
      <c r="E54" s="156">
        <v>10</v>
      </c>
      <c r="F54" s="172">
        <f t="shared" ref="F54:F63" si="5">E54-D54</f>
        <v>10</v>
      </c>
      <c r="G54" s="164">
        <f>E54*100</f>
        <v>1000</v>
      </c>
      <c r="H54" s="218"/>
    </row>
    <row r="55" spans="1:8" s="92" customFormat="1" ht="37.5">
      <c r="A55" s="231" t="s">
        <v>554</v>
      </c>
      <c r="B55" s="232" t="s">
        <v>396</v>
      </c>
      <c r="C55" s="163">
        <v>64</v>
      </c>
      <c r="D55" s="163">
        <v>68</v>
      </c>
      <c r="E55" s="156">
        <v>33</v>
      </c>
      <c r="F55" s="172">
        <f t="shared" si="5"/>
        <v>-35</v>
      </c>
      <c r="G55" s="164">
        <f>E55*100/D55</f>
        <v>48.529411764705884</v>
      </c>
      <c r="H55" s="218"/>
    </row>
    <row r="56" spans="1:8" s="92" customFormat="1" ht="22.5">
      <c r="A56" s="231" t="s">
        <v>546</v>
      </c>
      <c r="B56" s="232" t="s">
        <v>397</v>
      </c>
      <c r="C56" s="163">
        <v>39</v>
      </c>
      <c r="D56" s="163">
        <v>36</v>
      </c>
      <c r="E56" s="156">
        <v>39</v>
      </c>
      <c r="F56" s="172">
        <f t="shared" si="5"/>
        <v>3</v>
      </c>
      <c r="G56" s="164">
        <f t="shared" ref="G56:G63" si="6">E56*100/D56</f>
        <v>108.33333333333333</v>
      </c>
      <c r="H56" s="218"/>
    </row>
    <row r="57" spans="1:8" s="92" customFormat="1" ht="33.75">
      <c r="A57" s="233" t="s">
        <v>552</v>
      </c>
      <c r="B57" s="232" t="s">
        <v>398</v>
      </c>
      <c r="C57" s="163">
        <v>19</v>
      </c>
      <c r="D57" s="163">
        <v>26</v>
      </c>
      <c r="E57" s="156">
        <v>21</v>
      </c>
      <c r="F57" s="172">
        <f t="shared" si="5"/>
        <v>-5</v>
      </c>
      <c r="G57" s="164">
        <f t="shared" si="6"/>
        <v>80.769230769230774</v>
      </c>
      <c r="H57" s="218"/>
    </row>
    <row r="58" spans="1:8" s="92" customFormat="1" ht="22.5">
      <c r="A58" s="231" t="s">
        <v>551</v>
      </c>
      <c r="B58" s="232" t="s">
        <v>399</v>
      </c>
      <c r="C58" s="163">
        <v>5</v>
      </c>
      <c r="D58" s="163"/>
      <c r="E58" s="156">
        <v>1</v>
      </c>
      <c r="F58" s="172">
        <f t="shared" si="5"/>
        <v>1</v>
      </c>
      <c r="G58" s="164">
        <f>E58*100</f>
        <v>100</v>
      </c>
      <c r="H58" s="218"/>
    </row>
    <row r="59" spans="1:8" s="92" customFormat="1" ht="22.5">
      <c r="A59" s="231" t="s">
        <v>644</v>
      </c>
      <c r="B59" s="232" t="s">
        <v>400</v>
      </c>
      <c r="C59" s="163"/>
      <c r="D59" s="163">
        <v>288</v>
      </c>
      <c r="E59" s="156"/>
      <c r="F59" s="172"/>
      <c r="G59" s="164"/>
      <c r="H59" s="218"/>
    </row>
    <row r="60" spans="1:8" s="92" customFormat="1" ht="22.5">
      <c r="A60" s="231" t="s">
        <v>499</v>
      </c>
      <c r="B60" s="232" t="s">
        <v>493</v>
      </c>
      <c r="C60" s="163">
        <v>56</v>
      </c>
      <c r="D60" s="163">
        <v>71</v>
      </c>
      <c r="E60" s="156">
        <v>75</v>
      </c>
      <c r="F60" s="172">
        <f t="shared" si="5"/>
        <v>4</v>
      </c>
      <c r="G60" s="164">
        <f t="shared" si="6"/>
        <v>105.63380281690141</v>
      </c>
      <c r="H60" s="218"/>
    </row>
    <row r="61" spans="1:8" s="92" customFormat="1" ht="22.5">
      <c r="A61" s="231" t="s">
        <v>517</v>
      </c>
      <c r="B61" s="232" t="s">
        <v>501</v>
      </c>
      <c r="C61" s="163">
        <v>4</v>
      </c>
      <c r="D61" s="163"/>
      <c r="E61" s="156">
        <v>3</v>
      </c>
      <c r="F61" s="172">
        <f t="shared" si="5"/>
        <v>3</v>
      </c>
      <c r="G61" s="164">
        <f>E61*100</f>
        <v>300</v>
      </c>
      <c r="H61" s="218"/>
    </row>
    <row r="62" spans="1:8" s="92" customFormat="1" ht="22.5">
      <c r="A62" s="323" t="s">
        <v>569</v>
      </c>
      <c r="B62" s="232" t="s">
        <v>502</v>
      </c>
      <c r="C62" s="163">
        <v>64</v>
      </c>
      <c r="D62" s="163">
        <v>63</v>
      </c>
      <c r="E62" s="156">
        <v>105</v>
      </c>
      <c r="F62" s="172">
        <f t="shared" si="5"/>
        <v>42</v>
      </c>
      <c r="G62" s="164">
        <f t="shared" si="6"/>
        <v>166.66666666666666</v>
      </c>
      <c r="H62" s="218"/>
    </row>
    <row r="63" spans="1:8" s="92" customFormat="1" ht="22.5">
      <c r="A63" s="231" t="s">
        <v>500</v>
      </c>
      <c r="B63" s="232" t="s">
        <v>645</v>
      </c>
      <c r="C63" s="163">
        <v>107</v>
      </c>
      <c r="D63" s="163">
        <v>130</v>
      </c>
      <c r="E63" s="156">
        <v>148</v>
      </c>
      <c r="F63" s="172">
        <f t="shared" si="5"/>
        <v>18</v>
      </c>
      <c r="G63" s="164">
        <f t="shared" si="6"/>
        <v>113.84615384615384</v>
      </c>
      <c r="H63" s="218"/>
    </row>
    <row r="64" spans="1:8" s="90" customFormat="1" ht="22.5">
      <c r="A64" s="234" t="s">
        <v>228</v>
      </c>
      <c r="B64" s="216">
        <v>1070</v>
      </c>
      <c r="C64" s="141"/>
      <c r="D64" s="141"/>
      <c r="E64" s="141"/>
      <c r="F64" s="172"/>
      <c r="G64" s="217"/>
      <c r="H64" s="218"/>
    </row>
    <row r="65" spans="1:8" s="92" customFormat="1" ht="22.5">
      <c r="A65" s="215" t="s">
        <v>187</v>
      </c>
      <c r="B65" s="216">
        <v>1071</v>
      </c>
      <c r="C65" s="141"/>
      <c r="D65" s="141"/>
      <c r="E65" s="141"/>
      <c r="F65" s="172"/>
      <c r="G65" s="217"/>
      <c r="H65" s="218"/>
    </row>
    <row r="66" spans="1:8" s="92" customFormat="1" ht="22.5">
      <c r="A66" s="215" t="s">
        <v>188</v>
      </c>
      <c r="B66" s="216">
        <v>1072</v>
      </c>
      <c r="C66" s="141"/>
      <c r="D66" s="141"/>
      <c r="E66" s="141"/>
      <c r="F66" s="172"/>
      <c r="G66" s="217"/>
      <c r="H66" s="218"/>
    </row>
    <row r="67" spans="1:8" s="92" customFormat="1" ht="22.5">
      <c r="A67" s="215" t="s">
        <v>40</v>
      </c>
      <c r="B67" s="216">
        <v>1073</v>
      </c>
      <c r="C67" s="141"/>
      <c r="D67" s="141"/>
      <c r="E67" s="141"/>
      <c r="F67" s="172"/>
      <c r="G67" s="217"/>
      <c r="H67" s="218"/>
    </row>
    <row r="68" spans="1:8" s="92" customFormat="1" ht="45" customHeight="1">
      <c r="A68" s="215" t="s">
        <v>63</v>
      </c>
      <c r="B68" s="216">
        <v>1074</v>
      </c>
      <c r="C68" s="141"/>
      <c r="D68" s="141"/>
      <c r="E68" s="141"/>
      <c r="F68" s="172"/>
      <c r="G68" s="217"/>
      <c r="H68" s="218"/>
    </row>
    <row r="69" spans="1:8" s="92" customFormat="1" ht="22.5">
      <c r="A69" s="215" t="s">
        <v>79</v>
      </c>
      <c r="B69" s="216">
        <v>1075</v>
      </c>
      <c r="C69" s="141"/>
      <c r="D69" s="141"/>
      <c r="E69" s="141"/>
      <c r="F69" s="172"/>
      <c r="G69" s="217"/>
      <c r="H69" s="218"/>
    </row>
    <row r="70" spans="1:8" s="92" customFormat="1" ht="22.5">
      <c r="A70" s="215" t="s">
        <v>124</v>
      </c>
      <c r="B70" s="216">
        <v>1076</v>
      </c>
      <c r="C70" s="141"/>
      <c r="D70" s="141"/>
      <c r="E70" s="141"/>
      <c r="F70" s="172"/>
      <c r="G70" s="217"/>
      <c r="H70" s="218"/>
    </row>
    <row r="71" spans="1:8" s="92" customFormat="1" ht="22.5">
      <c r="A71" s="235" t="s">
        <v>80</v>
      </c>
      <c r="B71" s="216">
        <v>1080</v>
      </c>
      <c r="C71" s="141">
        <f>SUM(C72:C97)</f>
        <v>22202</v>
      </c>
      <c r="D71" s="141">
        <f>SUM(D72:D97)</f>
        <v>31290</v>
      </c>
      <c r="E71" s="141">
        <f>SUM(E72:E97)</f>
        <v>31856</v>
      </c>
      <c r="F71" s="141">
        <f>E71-D71</f>
        <v>566</v>
      </c>
      <c r="G71" s="217">
        <f>E71*100/D71</f>
        <v>101.80888462767658</v>
      </c>
      <c r="H71" s="218"/>
    </row>
    <row r="72" spans="1:8" s="92" customFormat="1" ht="22.5">
      <c r="A72" s="166" t="s">
        <v>40</v>
      </c>
      <c r="B72" s="161" t="s">
        <v>504</v>
      </c>
      <c r="C72" s="156">
        <v>8170</v>
      </c>
      <c r="D72" s="163">
        <v>7752</v>
      </c>
      <c r="E72" s="156">
        <v>7747</v>
      </c>
      <c r="F72" s="172">
        <f>E72-D72</f>
        <v>-5</v>
      </c>
      <c r="G72" s="164">
        <f>E72*100/D72</f>
        <v>99.935500515995869</v>
      </c>
      <c r="H72" s="218"/>
    </row>
    <row r="73" spans="1:8" s="92" customFormat="1" ht="22.5">
      <c r="A73" s="166" t="s">
        <v>41</v>
      </c>
      <c r="B73" s="161" t="s">
        <v>505</v>
      </c>
      <c r="C73" s="156">
        <v>1817</v>
      </c>
      <c r="D73" s="163">
        <v>1705</v>
      </c>
      <c r="E73" s="156">
        <v>1745</v>
      </c>
      <c r="F73" s="172">
        <f t="shared" ref="F73:F79" si="7">E73-D73</f>
        <v>40</v>
      </c>
      <c r="G73" s="164">
        <f>E73*100/D73</f>
        <v>102.34604105571847</v>
      </c>
      <c r="H73" s="218"/>
    </row>
    <row r="74" spans="1:8" s="92" customFormat="1" ht="33.75" customHeight="1">
      <c r="A74" s="166" t="s">
        <v>631</v>
      </c>
      <c r="B74" s="161" t="s">
        <v>574</v>
      </c>
      <c r="C74" s="156">
        <v>351</v>
      </c>
      <c r="D74" s="156">
        <v>842</v>
      </c>
      <c r="E74" s="156">
        <v>296</v>
      </c>
      <c r="F74" s="172">
        <f t="shared" si="7"/>
        <v>-546</v>
      </c>
      <c r="G74" s="164">
        <f t="shared" ref="G74:G75" si="8">E74*100/D74</f>
        <v>35.154394299287411</v>
      </c>
      <c r="H74" s="218"/>
    </row>
    <row r="75" spans="1:8" s="92" customFormat="1" ht="22.5">
      <c r="A75" s="166" t="s">
        <v>596</v>
      </c>
      <c r="B75" s="161" t="s">
        <v>575</v>
      </c>
      <c r="C75" s="156">
        <v>50</v>
      </c>
      <c r="D75" s="156">
        <v>85</v>
      </c>
      <c r="E75" s="156"/>
      <c r="F75" s="172">
        <f t="shared" si="7"/>
        <v>-85</v>
      </c>
      <c r="G75" s="164">
        <f t="shared" si="8"/>
        <v>0</v>
      </c>
      <c r="H75" s="218"/>
    </row>
    <row r="76" spans="1:8" s="92" customFormat="1" ht="22.5">
      <c r="A76" s="229" t="s">
        <v>548</v>
      </c>
      <c r="B76" s="161" t="s">
        <v>506</v>
      </c>
      <c r="C76" s="156">
        <v>418</v>
      </c>
      <c r="D76" s="156"/>
      <c r="E76" s="156"/>
      <c r="F76" s="172">
        <f t="shared" si="7"/>
        <v>0</v>
      </c>
      <c r="G76" s="164">
        <f>E76*100</f>
        <v>0</v>
      </c>
      <c r="H76" s="218"/>
    </row>
    <row r="77" spans="1:8" s="92" customFormat="1" ht="22.5">
      <c r="A77" s="229" t="s">
        <v>595</v>
      </c>
      <c r="B77" s="161" t="s">
        <v>507</v>
      </c>
      <c r="C77" s="156">
        <v>656</v>
      </c>
      <c r="D77" s="156"/>
      <c r="E77" s="156"/>
      <c r="F77" s="172">
        <f t="shared" si="7"/>
        <v>0</v>
      </c>
      <c r="G77" s="164">
        <f>E77*100</f>
        <v>0</v>
      </c>
      <c r="H77" s="218"/>
    </row>
    <row r="78" spans="1:8" s="92" customFormat="1" ht="22.5">
      <c r="A78" s="229" t="s">
        <v>549</v>
      </c>
      <c r="B78" s="161" t="s">
        <v>576</v>
      </c>
      <c r="C78" s="156">
        <v>412</v>
      </c>
      <c r="D78" s="156">
        <v>430</v>
      </c>
      <c r="E78" s="156">
        <v>784</v>
      </c>
      <c r="F78" s="172">
        <f t="shared" si="7"/>
        <v>354</v>
      </c>
      <c r="G78" s="164">
        <f t="shared" ref="G78:G79" si="9">E78*100/D78</f>
        <v>182.32558139534885</v>
      </c>
      <c r="H78" s="218"/>
    </row>
    <row r="79" spans="1:8" s="92" customFormat="1" ht="22.5">
      <c r="A79" s="229" t="s">
        <v>498</v>
      </c>
      <c r="B79" s="161" t="s">
        <v>508</v>
      </c>
      <c r="C79" s="156"/>
      <c r="D79" s="156">
        <v>4220</v>
      </c>
      <c r="E79" s="156">
        <v>7382</v>
      </c>
      <c r="F79" s="172">
        <f t="shared" si="7"/>
        <v>3162</v>
      </c>
      <c r="G79" s="164">
        <f t="shared" si="9"/>
        <v>174.92890995260663</v>
      </c>
      <c r="H79" s="218"/>
    </row>
    <row r="80" spans="1:8" s="92" customFormat="1" ht="22.5">
      <c r="A80" s="229" t="s">
        <v>500</v>
      </c>
      <c r="B80" s="161" t="s">
        <v>509</v>
      </c>
      <c r="C80" s="156">
        <v>780</v>
      </c>
      <c r="D80" s="156">
        <v>1692</v>
      </c>
      <c r="E80" s="156">
        <v>1617</v>
      </c>
      <c r="F80" s="172">
        <f>E80-D80</f>
        <v>-75</v>
      </c>
      <c r="G80" s="164">
        <f>E80*100/D80</f>
        <v>95.567375886524829</v>
      </c>
      <c r="H80" s="218"/>
    </row>
    <row r="81" spans="1:8" s="92" customFormat="1" ht="23.25" customHeight="1">
      <c r="A81" s="229" t="s">
        <v>555</v>
      </c>
      <c r="B81" s="161" t="s">
        <v>577</v>
      </c>
      <c r="C81" s="156">
        <v>554</v>
      </c>
      <c r="D81" s="156">
        <v>744</v>
      </c>
      <c r="E81" s="156">
        <v>504</v>
      </c>
      <c r="F81" s="172">
        <f t="shared" ref="F81:F102" si="10">E81-D81</f>
        <v>-240</v>
      </c>
      <c r="G81" s="164">
        <f>E81*100/D81</f>
        <v>67.741935483870961</v>
      </c>
      <c r="H81" s="218"/>
    </row>
    <row r="82" spans="1:8" s="92" customFormat="1" ht="25.5" customHeight="1">
      <c r="A82" s="229" t="s">
        <v>570</v>
      </c>
      <c r="B82" s="161" t="s">
        <v>510</v>
      </c>
      <c r="C82" s="156"/>
      <c r="D82" s="156">
        <v>58</v>
      </c>
      <c r="E82" s="156"/>
      <c r="F82" s="172">
        <f t="shared" si="10"/>
        <v>-58</v>
      </c>
      <c r="G82" s="164">
        <f>E82*100/D82</f>
        <v>0</v>
      </c>
      <c r="H82" s="218"/>
    </row>
    <row r="83" spans="1:8" s="92" customFormat="1" ht="31.5">
      <c r="A83" s="229" t="s">
        <v>547</v>
      </c>
      <c r="B83" s="161" t="s">
        <v>556</v>
      </c>
      <c r="C83" s="156">
        <v>175</v>
      </c>
      <c r="D83" s="156">
        <v>318</v>
      </c>
      <c r="E83" s="156">
        <v>195</v>
      </c>
      <c r="F83" s="172">
        <f t="shared" si="10"/>
        <v>-123</v>
      </c>
      <c r="G83" s="164">
        <f t="shared" ref="G83:G88" si="11">E83*100/D83</f>
        <v>61.320754716981135</v>
      </c>
      <c r="H83" s="218"/>
    </row>
    <row r="84" spans="1:8" s="92" customFormat="1" ht="22.5">
      <c r="A84" s="229" t="s">
        <v>622</v>
      </c>
      <c r="B84" s="161" t="s">
        <v>511</v>
      </c>
      <c r="C84" s="156">
        <v>128</v>
      </c>
      <c r="D84" s="156">
        <v>513</v>
      </c>
      <c r="E84" s="156">
        <v>9</v>
      </c>
      <c r="F84" s="172">
        <f t="shared" si="10"/>
        <v>-504</v>
      </c>
      <c r="G84" s="164">
        <f t="shared" si="11"/>
        <v>1.7543859649122806</v>
      </c>
      <c r="H84" s="218"/>
    </row>
    <row r="85" spans="1:8" s="92" customFormat="1" ht="22.5">
      <c r="A85" s="229" t="s">
        <v>571</v>
      </c>
      <c r="B85" s="161" t="s">
        <v>512</v>
      </c>
      <c r="C85" s="174">
        <v>99</v>
      </c>
      <c r="D85" s="156">
        <v>200</v>
      </c>
      <c r="E85" s="156">
        <v>120</v>
      </c>
      <c r="F85" s="172">
        <f t="shared" si="10"/>
        <v>-80</v>
      </c>
      <c r="G85" s="164">
        <f t="shared" si="11"/>
        <v>60</v>
      </c>
      <c r="H85" s="218"/>
    </row>
    <row r="86" spans="1:8" s="92" customFormat="1" ht="31.5">
      <c r="A86" s="229" t="s">
        <v>584</v>
      </c>
      <c r="B86" s="161" t="s">
        <v>513</v>
      </c>
      <c r="C86" s="156">
        <v>520</v>
      </c>
      <c r="D86" s="156">
        <v>570</v>
      </c>
      <c r="E86" s="156">
        <v>1431</v>
      </c>
      <c r="F86" s="172">
        <f t="shared" si="10"/>
        <v>861</v>
      </c>
      <c r="G86" s="164">
        <f t="shared" si="11"/>
        <v>251.05263157894737</v>
      </c>
      <c r="H86" s="218"/>
    </row>
    <row r="87" spans="1:8" s="92" customFormat="1" ht="21" customHeight="1">
      <c r="A87" s="229" t="s">
        <v>588</v>
      </c>
      <c r="B87" s="161" t="s">
        <v>514</v>
      </c>
      <c r="C87" s="156">
        <v>2324</v>
      </c>
      <c r="D87" s="156">
        <v>2436</v>
      </c>
      <c r="E87" s="156">
        <f>1567+667</f>
        <v>2234</v>
      </c>
      <c r="F87" s="172">
        <f t="shared" si="10"/>
        <v>-202</v>
      </c>
      <c r="G87" s="164">
        <f t="shared" si="11"/>
        <v>91.707717569786539</v>
      </c>
      <c r="H87" s="218"/>
    </row>
    <row r="88" spans="1:8" s="92" customFormat="1" ht="21" customHeight="1">
      <c r="A88" s="229" t="s">
        <v>604</v>
      </c>
      <c r="B88" s="161" t="s">
        <v>515</v>
      </c>
      <c r="C88" s="156"/>
      <c r="D88" s="156">
        <v>1311</v>
      </c>
      <c r="E88" s="156">
        <v>1297</v>
      </c>
      <c r="F88" s="172">
        <f t="shared" si="10"/>
        <v>-14</v>
      </c>
      <c r="G88" s="164">
        <f t="shared" si="11"/>
        <v>98.932112890922966</v>
      </c>
      <c r="H88" s="218"/>
    </row>
    <row r="89" spans="1:8" s="92" customFormat="1" ht="33" customHeight="1">
      <c r="A89" s="311" t="s">
        <v>693</v>
      </c>
      <c r="B89" s="161" t="s">
        <v>516</v>
      </c>
      <c r="C89" s="156">
        <v>571</v>
      </c>
      <c r="D89" s="156">
        <v>2754</v>
      </c>
      <c r="E89" s="156">
        <v>995</v>
      </c>
      <c r="F89" s="172">
        <f t="shared" si="10"/>
        <v>-1759</v>
      </c>
      <c r="G89" s="164">
        <f t="shared" ref="G89:G91" si="12">E89*100/D89</f>
        <v>36.129266521423382</v>
      </c>
      <c r="H89" s="218"/>
    </row>
    <row r="90" spans="1:8" s="92" customFormat="1" ht="25.5" customHeight="1">
      <c r="A90" s="229" t="s">
        <v>582</v>
      </c>
      <c r="B90" s="161" t="s">
        <v>541</v>
      </c>
      <c r="C90" s="156">
        <v>177</v>
      </c>
      <c r="D90" s="156">
        <v>200</v>
      </c>
      <c r="E90" s="156">
        <v>296</v>
      </c>
      <c r="F90" s="172">
        <f t="shared" si="10"/>
        <v>96</v>
      </c>
      <c r="G90" s="164">
        <f t="shared" si="12"/>
        <v>148</v>
      </c>
      <c r="H90" s="218"/>
    </row>
    <row r="91" spans="1:8" s="92" customFormat="1" ht="25.5" customHeight="1">
      <c r="A91" s="229" t="s">
        <v>583</v>
      </c>
      <c r="B91" s="161" t="s">
        <v>542</v>
      </c>
      <c r="C91" s="156">
        <v>314</v>
      </c>
      <c r="D91" s="156">
        <v>317</v>
      </c>
      <c r="E91" s="156"/>
      <c r="F91" s="172">
        <f t="shared" si="10"/>
        <v>-317</v>
      </c>
      <c r="G91" s="164">
        <f t="shared" si="12"/>
        <v>0</v>
      </c>
      <c r="H91" s="218"/>
    </row>
    <row r="92" spans="1:8" s="92" customFormat="1" ht="25.5" customHeight="1">
      <c r="A92" s="229" t="s">
        <v>632</v>
      </c>
      <c r="B92" s="161" t="s">
        <v>605</v>
      </c>
      <c r="C92" s="156">
        <v>208</v>
      </c>
      <c r="D92" s="156">
        <v>16</v>
      </c>
      <c r="E92" s="156">
        <v>26</v>
      </c>
      <c r="F92" s="172">
        <f t="shared" si="10"/>
        <v>10</v>
      </c>
      <c r="G92" s="164">
        <f>E92*100</f>
        <v>2600</v>
      </c>
      <c r="H92" s="218"/>
    </row>
    <row r="93" spans="1:8" s="92" customFormat="1" ht="30" customHeight="1">
      <c r="A93" s="311" t="s">
        <v>623</v>
      </c>
      <c r="B93" s="161" t="s">
        <v>607</v>
      </c>
      <c r="C93" s="156">
        <v>104</v>
      </c>
      <c r="D93" s="156">
        <v>282</v>
      </c>
      <c r="E93" s="156"/>
      <c r="F93" s="172">
        <f t="shared" si="10"/>
        <v>-282</v>
      </c>
      <c r="G93" s="164">
        <f>E93*100</f>
        <v>0</v>
      </c>
      <c r="H93" s="218"/>
    </row>
    <row r="94" spans="1:8" s="92" customFormat="1" ht="25.5" customHeight="1">
      <c r="A94" s="311" t="s">
        <v>646</v>
      </c>
      <c r="B94" s="161" t="s">
        <v>625</v>
      </c>
      <c r="C94" s="156"/>
      <c r="D94" s="156">
        <v>75</v>
      </c>
      <c r="E94" s="156">
        <v>61</v>
      </c>
      <c r="F94" s="172">
        <f t="shared" si="10"/>
        <v>-14</v>
      </c>
      <c r="G94" s="164"/>
      <c r="H94" s="218"/>
    </row>
    <row r="95" spans="1:8" s="92" customFormat="1" ht="25.5" customHeight="1">
      <c r="A95" s="229" t="s">
        <v>585</v>
      </c>
      <c r="B95" s="161" t="s">
        <v>626</v>
      </c>
      <c r="C95" s="156">
        <v>1</v>
      </c>
      <c r="D95" s="156">
        <v>690</v>
      </c>
      <c r="E95" s="156">
        <v>41</v>
      </c>
      <c r="F95" s="172">
        <f t="shared" si="10"/>
        <v>-649</v>
      </c>
      <c r="G95" s="164">
        <f>E95*100/D95</f>
        <v>5.9420289855072461</v>
      </c>
      <c r="H95" s="218"/>
    </row>
    <row r="96" spans="1:8" s="92" customFormat="1" ht="25.5" customHeight="1">
      <c r="A96" s="229" t="s">
        <v>614</v>
      </c>
      <c r="B96" s="161" t="s">
        <v>627</v>
      </c>
      <c r="C96" s="156">
        <v>491</v>
      </c>
      <c r="D96" s="156"/>
      <c r="E96" s="156">
        <v>338</v>
      </c>
      <c r="F96" s="172">
        <f t="shared" si="10"/>
        <v>338</v>
      </c>
      <c r="G96" s="164">
        <f>E96*100</f>
        <v>33800</v>
      </c>
      <c r="H96" s="218"/>
    </row>
    <row r="97" spans="1:8" s="92" customFormat="1" ht="22.5">
      <c r="A97" s="229" t="s">
        <v>503</v>
      </c>
      <c r="B97" s="161" t="s">
        <v>647</v>
      </c>
      <c r="C97" s="156">
        <v>3882</v>
      </c>
      <c r="D97" s="156">
        <v>4080</v>
      </c>
      <c r="E97" s="156">
        <v>4738</v>
      </c>
      <c r="F97" s="172">
        <f t="shared" si="10"/>
        <v>658</v>
      </c>
      <c r="G97" s="164">
        <f t="shared" ref="G97" si="13">E97*100/D97</f>
        <v>116.12745098039215</v>
      </c>
      <c r="H97" s="218"/>
    </row>
    <row r="98" spans="1:8" s="92" customFormat="1" ht="22.5">
      <c r="A98" s="215" t="s">
        <v>72</v>
      </c>
      <c r="B98" s="216">
        <v>1081</v>
      </c>
      <c r="C98" s="141"/>
      <c r="D98" s="141"/>
      <c r="E98" s="141"/>
      <c r="F98" s="172"/>
      <c r="G98" s="164"/>
      <c r="H98" s="218"/>
    </row>
    <row r="99" spans="1:8" s="92" customFormat="1" ht="22.5">
      <c r="A99" s="215" t="s">
        <v>51</v>
      </c>
      <c r="B99" s="216">
        <v>1082</v>
      </c>
      <c r="C99" s="141"/>
      <c r="D99" s="141"/>
      <c r="E99" s="141"/>
      <c r="F99" s="172"/>
      <c r="G99" s="164"/>
      <c r="H99" s="218"/>
    </row>
    <row r="100" spans="1:8" s="92" customFormat="1" ht="22.5">
      <c r="A100" s="215" t="s">
        <v>61</v>
      </c>
      <c r="B100" s="216">
        <v>1083</v>
      </c>
      <c r="C100" s="141"/>
      <c r="D100" s="141"/>
      <c r="E100" s="141"/>
      <c r="F100" s="172"/>
      <c r="G100" s="164"/>
      <c r="H100" s="218"/>
    </row>
    <row r="101" spans="1:8" s="92" customFormat="1" ht="22.5">
      <c r="A101" s="215" t="s">
        <v>218</v>
      </c>
      <c r="B101" s="216">
        <v>1084</v>
      </c>
      <c r="C101" s="141"/>
      <c r="D101" s="141"/>
      <c r="E101" s="141"/>
      <c r="F101" s="172"/>
      <c r="G101" s="164"/>
      <c r="H101" s="218"/>
    </row>
    <row r="102" spans="1:8" s="92" customFormat="1" ht="22.5">
      <c r="A102" s="215" t="s">
        <v>262</v>
      </c>
      <c r="B102" s="216">
        <v>1085</v>
      </c>
      <c r="C102" s="141">
        <f>C103</f>
        <v>0</v>
      </c>
      <c r="D102" s="141"/>
      <c r="E102" s="141">
        <f>E103</f>
        <v>42</v>
      </c>
      <c r="F102" s="353">
        <f t="shared" si="10"/>
        <v>42</v>
      </c>
      <c r="G102" s="354">
        <f>E102*100</f>
        <v>4200</v>
      </c>
      <c r="H102" s="218"/>
    </row>
    <row r="103" spans="1:8" s="92" customFormat="1" ht="22.5">
      <c r="A103" s="229" t="s">
        <v>648</v>
      </c>
      <c r="B103" s="161"/>
      <c r="C103" s="156"/>
      <c r="D103" s="141"/>
      <c r="E103" s="156">
        <v>42</v>
      </c>
      <c r="F103" s="172"/>
      <c r="G103" s="164"/>
      <c r="H103" s="218"/>
    </row>
    <row r="104" spans="1:8" s="91" customFormat="1" ht="24.75" customHeight="1">
      <c r="A104" s="226" t="s">
        <v>4</v>
      </c>
      <c r="B104" s="227">
        <v>1100</v>
      </c>
      <c r="C104" s="322">
        <f>C21+C22-C27-C64-C71-C102</f>
        <v>-36460</v>
      </c>
      <c r="D104" s="322">
        <f>D21+D22-D27-D64-D71-D102</f>
        <v>-41731</v>
      </c>
      <c r="E104" s="322">
        <f>E21+E22-E27-E64-E71-E102</f>
        <v>-40491</v>
      </c>
      <c r="F104" s="167">
        <f>E104-D104</f>
        <v>1240</v>
      </c>
      <c r="G104" s="168">
        <f>E104*100/D104</f>
        <v>97.028587860343634</v>
      </c>
      <c r="H104" s="228"/>
    </row>
    <row r="105" spans="1:8" s="90" customFormat="1" ht="22.5">
      <c r="A105" s="215" t="s">
        <v>108</v>
      </c>
      <c r="B105" s="216">
        <v>1110</v>
      </c>
      <c r="C105" s="141"/>
      <c r="D105" s="141"/>
      <c r="E105" s="141"/>
      <c r="F105" s="165"/>
      <c r="G105" s="217"/>
      <c r="H105" s="218"/>
    </row>
    <row r="106" spans="1:8" s="90" customFormat="1" ht="22.5">
      <c r="A106" s="215" t="s">
        <v>109</v>
      </c>
      <c r="B106" s="216">
        <v>1120</v>
      </c>
      <c r="C106" s="141"/>
      <c r="D106" s="141"/>
      <c r="E106" s="141"/>
      <c r="F106" s="165"/>
      <c r="G106" s="217"/>
      <c r="H106" s="218"/>
    </row>
    <row r="107" spans="1:8" s="90" customFormat="1" ht="22.5">
      <c r="A107" s="215" t="s">
        <v>112</v>
      </c>
      <c r="B107" s="216">
        <v>1130</v>
      </c>
      <c r="C107" s="141"/>
      <c r="D107" s="141"/>
      <c r="E107" s="141"/>
      <c r="F107" s="165"/>
      <c r="G107" s="217"/>
      <c r="H107" s="218"/>
    </row>
    <row r="108" spans="1:8" s="90" customFormat="1" ht="22.5">
      <c r="A108" s="215" t="s">
        <v>111</v>
      </c>
      <c r="B108" s="216">
        <v>1140</v>
      </c>
      <c r="C108" s="141"/>
      <c r="D108" s="141"/>
      <c r="E108" s="141"/>
      <c r="F108" s="165"/>
      <c r="G108" s="217"/>
      <c r="H108" s="218"/>
    </row>
    <row r="109" spans="1:8" s="90" customFormat="1" ht="22.5">
      <c r="A109" s="215" t="s">
        <v>219</v>
      </c>
      <c r="B109" s="216">
        <v>1150</v>
      </c>
      <c r="C109" s="141">
        <f>SUM(C110:C112)</f>
        <v>14105</v>
      </c>
      <c r="D109" s="141">
        <f>SUM(D110:D112)</f>
        <v>16585</v>
      </c>
      <c r="E109" s="141">
        <f>SUM(E110:E112)</f>
        <v>14527</v>
      </c>
      <c r="F109" s="165">
        <f>E109-D109</f>
        <v>-2058</v>
      </c>
      <c r="G109" s="217">
        <f>E109*100/D109</f>
        <v>87.591196864636714</v>
      </c>
      <c r="H109" s="218"/>
    </row>
    <row r="110" spans="1:8" s="90" customFormat="1" ht="22.5">
      <c r="A110" s="219" t="s">
        <v>649</v>
      </c>
      <c r="B110" s="161" t="s">
        <v>518</v>
      </c>
      <c r="C110" s="156">
        <v>13606</v>
      </c>
      <c r="D110" s="156">
        <v>16135</v>
      </c>
      <c r="E110" s="156">
        <v>13732</v>
      </c>
      <c r="F110" s="172">
        <f>E110-D110</f>
        <v>-2403</v>
      </c>
      <c r="G110" s="164">
        <f>E110*100/D110</f>
        <v>85.106910443136044</v>
      </c>
      <c r="H110" s="218"/>
    </row>
    <row r="111" spans="1:8" s="90" customFormat="1" ht="22.5">
      <c r="A111" s="236" t="s">
        <v>628</v>
      </c>
      <c r="B111" s="161" t="s">
        <v>586</v>
      </c>
      <c r="C111" s="156">
        <v>15</v>
      </c>
      <c r="D111" s="156"/>
      <c r="E111" s="156"/>
      <c r="F111" s="172">
        <f>E111-D111</f>
        <v>0</v>
      </c>
      <c r="G111" s="164">
        <f>E111*100</f>
        <v>0</v>
      </c>
      <c r="H111" s="218"/>
    </row>
    <row r="112" spans="1:8" s="90" customFormat="1" ht="22.5">
      <c r="A112" s="229" t="s">
        <v>624</v>
      </c>
      <c r="B112" s="161" t="s">
        <v>587</v>
      </c>
      <c r="C112" s="156">
        <v>484</v>
      </c>
      <c r="D112" s="156">
        <v>450</v>
      </c>
      <c r="E112" s="156">
        <v>795</v>
      </c>
      <c r="F112" s="172">
        <f t="shared" ref="F112:F114" si="14">E112-D112</f>
        <v>345</v>
      </c>
      <c r="G112" s="164">
        <f>E112*100/D112</f>
        <v>176.66666666666666</v>
      </c>
      <c r="H112" s="218"/>
    </row>
    <row r="113" spans="1:8" s="90" customFormat="1" ht="22.5">
      <c r="A113" s="215" t="s">
        <v>218</v>
      </c>
      <c r="B113" s="216">
        <v>1151</v>
      </c>
      <c r="C113" s="141"/>
      <c r="D113" s="141"/>
      <c r="E113" s="141"/>
      <c r="F113" s="172"/>
      <c r="G113" s="164"/>
      <c r="H113" s="218"/>
    </row>
    <row r="114" spans="1:8" s="90" customFormat="1" ht="22.5">
      <c r="A114" s="215" t="s">
        <v>220</v>
      </c>
      <c r="B114" s="216">
        <v>1160</v>
      </c>
      <c r="C114" s="141">
        <f>C115</f>
        <v>0</v>
      </c>
      <c r="D114" s="141">
        <f>D115</f>
        <v>0</v>
      </c>
      <c r="E114" s="141">
        <f>E115</f>
        <v>0</v>
      </c>
      <c r="F114" s="141">
        <f t="shared" si="14"/>
        <v>0</v>
      </c>
      <c r="G114" s="217">
        <f t="shared" ref="G114" si="15">E114*100</f>
        <v>0</v>
      </c>
      <c r="H114" s="218"/>
    </row>
    <row r="115" spans="1:8" s="90" customFormat="1" ht="22.5">
      <c r="A115" s="166"/>
      <c r="B115" s="161" t="s">
        <v>519</v>
      </c>
      <c r="C115" s="156"/>
      <c r="D115" s="156"/>
      <c r="E115" s="156"/>
      <c r="F115" s="172"/>
      <c r="G115" s="164"/>
      <c r="H115" s="218"/>
    </row>
    <row r="116" spans="1:8" s="90" customFormat="1" ht="22.5">
      <c r="A116" s="215" t="s">
        <v>218</v>
      </c>
      <c r="B116" s="216">
        <v>1161</v>
      </c>
      <c r="C116" s="141"/>
      <c r="D116" s="141"/>
      <c r="E116" s="141"/>
      <c r="F116" s="165"/>
      <c r="G116" s="217"/>
      <c r="H116" s="218"/>
    </row>
    <row r="117" spans="1:8" s="91" customFormat="1" ht="21.75">
      <c r="A117" s="226" t="s">
        <v>96</v>
      </c>
      <c r="B117" s="227">
        <v>1170</v>
      </c>
      <c r="C117" s="322">
        <f>C104+C109-C114</f>
        <v>-22355</v>
      </c>
      <c r="D117" s="322">
        <f>D104+D109</f>
        <v>-25146</v>
      </c>
      <c r="E117" s="322">
        <f>E104+E109-E114</f>
        <v>-25964</v>
      </c>
      <c r="F117" s="167">
        <f>D117-E117</f>
        <v>818</v>
      </c>
      <c r="G117" s="168">
        <f>E117*100/D117</f>
        <v>103.25300246560089</v>
      </c>
      <c r="H117" s="228"/>
    </row>
    <row r="118" spans="1:8" s="90" customFormat="1" ht="22.5">
      <c r="A118" s="215" t="s">
        <v>139</v>
      </c>
      <c r="B118" s="216">
        <v>1180</v>
      </c>
      <c r="C118" s="141"/>
      <c r="D118" s="141"/>
      <c r="E118" s="141"/>
      <c r="F118" s="165"/>
      <c r="G118" s="217"/>
      <c r="H118" s="218"/>
    </row>
    <row r="119" spans="1:8" s="90" customFormat="1" ht="45">
      <c r="A119" s="215" t="s">
        <v>140</v>
      </c>
      <c r="B119" s="216">
        <v>1190</v>
      </c>
      <c r="C119" s="141"/>
      <c r="D119" s="141"/>
      <c r="E119" s="141"/>
      <c r="F119" s="165"/>
      <c r="G119" s="217"/>
      <c r="H119" s="218"/>
    </row>
    <row r="120" spans="1:8" s="91" customFormat="1" ht="21.75">
      <c r="A120" s="226" t="s">
        <v>97</v>
      </c>
      <c r="B120" s="227">
        <v>1200</v>
      </c>
      <c r="C120" s="322">
        <f>C122</f>
        <v>-22355</v>
      </c>
      <c r="D120" s="322">
        <f>D122</f>
        <v>-25146</v>
      </c>
      <c r="E120" s="322">
        <f>E122</f>
        <v>-25964</v>
      </c>
      <c r="F120" s="167">
        <f>D120-E120</f>
        <v>818</v>
      </c>
      <c r="G120" s="168">
        <f>E120*100/D120</f>
        <v>103.25300246560089</v>
      </c>
      <c r="H120" s="228"/>
    </row>
    <row r="121" spans="1:8" s="90" customFormat="1" ht="22.5">
      <c r="A121" s="215" t="s">
        <v>24</v>
      </c>
      <c r="B121" s="237">
        <v>1201</v>
      </c>
      <c r="C121" s="321"/>
      <c r="D121" s="321"/>
      <c r="E121" s="321"/>
      <c r="F121" s="223"/>
      <c r="G121" s="224"/>
      <c r="H121" s="225"/>
    </row>
    <row r="122" spans="1:8" s="90" customFormat="1" ht="22.5">
      <c r="A122" s="215" t="s">
        <v>25</v>
      </c>
      <c r="B122" s="237">
        <v>1202</v>
      </c>
      <c r="C122" s="321">
        <f>C117</f>
        <v>-22355</v>
      </c>
      <c r="D122" s="321">
        <f>D117</f>
        <v>-25146</v>
      </c>
      <c r="E122" s="321">
        <f>E117</f>
        <v>-25964</v>
      </c>
      <c r="F122" s="223">
        <f>E122-D122</f>
        <v>-818</v>
      </c>
      <c r="G122" s="224">
        <f>E122*100/D122</f>
        <v>103.25300246560089</v>
      </c>
      <c r="H122" s="225"/>
    </row>
    <row r="123" spans="1:8" s="90" customFormat="1" ht="22.5">
      <c r="A123" s="215" t="s">
        <v>263</v>
      </c>
      <c r="B123" s="216">
        <v>1210</v>
      </c>
      <c r="C123" s="141"/>
      <c r="D123" s="141"/>
      <c r="E123" s="141"/>
      <c r="F123" s="165"/>
      <c r="G123" s="217"/>
      <c r="H123" s="218"/>
    </row>
    <row r="124" spans="1:8" s="91" customFormat="1" ht="27.75" customHeight="1">
      <c r="A124" s="408" t="s">
        <v>276</v>
      </c>
      <c r="B124" s="409"/>
      <c r="C124" s="409"/>
      <c r="D124" s="409"/>
      <c r="E124" s="409"/>
      <c r="F124" s="409"/>
      <c r="G124" s="409"/>
      <c r="H124" s="410"/>
    </row>
    <row r="125" spans="1:8" s="90" customFormat="1" ht="45">
      <c r="A125" s="238" t="s">
        <v>277</v>
      </c>
      <c r="B125" s="237">
        <v>1300</v>
      </c>
      <c r="C125" s="321">
        <f>C22-C71</f>
        <v>-22060</v>
      </c>
      <c r="D125" s="321">
        <f>D22-D71</f>
        <v>-31200</v>
      </c>
      <c r="E125" s="321">
        <f>E22-E71</f>
        <v>-30421</v>
      </c>
      <c r="F125" s="223">
        <f>E125-D125</f>
        <v>779</v>
      </c>
      <c r="G125" s="224">
        <f>E125*100/D125</f>
        <v>97.503205128205124</v>
      </c>
      <c r="H125" s="225"/>
    </row>
    <row r="126" spans="1:8" s="90" customFormat="1" ht="70.5" customHeight="1">
      <c r="A126" s="239" t="s">
        <v>278</v>
      </c>
      <c r="B126" s="237">
        <v>1310</v>
      </c>
      <c r="C126" s="321"/>
      <c r="D126" s="321"/>
      <c r="E126" s="321"/>
      <c r="F126" s="223"/>
      <c r="G126" s="224"/>
      <c r="H126" s="225"/>
    </row>
    <row r="127" spans="1:8" s="90" customFormat="1" ht="45">
      <c r="A127" s="238" t="s">
        <v>279</v>
      </c>
      <c r="B127" s="237">
        <v>1320</v>
      </c>
      <c r="C127" s="321">
        <f>C109-C114</f>
        <v>14105</v>
      </c>
      <c r="D127" s="321">
        <f>D109-D114</f>
        <v>16585</v>
      </c>
      <c r="E127" s="321">
        <f>E109-E114</f>
        <v>14527</v>
      </c>
      <c r="F127" s="223">
        <f>E127-D127</f>
        <v>-2058</v>
      </c>
      <c r="G127" s="224">
        <f>E127*100/D127</f>
        <v>87.591196864636714</v>
      </c>
      <c r="H127" s="225"/>
    </row>
    <row r="128" spans="1:8" s="90" customFormat="1" ht="46.5" customHeight="1">
      <c r="A128" s="240" t="s">
        <v>385</v>
      </c>
      <c r="B128" s="216">
        <v>1330</v>
      </c>
      <c r="C128" s="141">
        <f>C8+C22+C105+C106+C109</f>
        <v>14987</v>
      </c>
      <c r="D128" s="141">
        <f>D8+D22+D105+D106+D109</f>
        <v>17365</v>
      </c>
      <c r="E128" s="141">
        <f>E8+E22+E105+E106+E109</f>
        <v>16085</v>
      </c>
      <c r="F128" s="223">
        <f>E128-D128</f>
        <v>-1280</v>
      </c>
      <c r="G128" s="217">
        <f>E128*100/D128</f>
        <v>92.628851137345237</v>
      </c>
      <c r="H128" s="218"/>
    </row>
    <row r="129" spans="1:9" s="90" customFormat="1" ht="65.25" customHeight="1">
      <c r="A129" s="240" t="s">
        <v>386</v>
      </c>
      <c r="B129" s="216">
        <v>1340</v>
      </c>
      <c r="C129" s="141">
        <f>C12+C27+C64+C71+C107+C108+C114+C118+C119</f>
        <v>37342</v>
      </c>
      <c r="D129" s="141">
        <f>D12+D27+D64+D71+D107+D108+D114+D118+D119</f>
        <v>42511</v>
      </c>
      <c r="E129" s="141">
        <f>E12+E27+E64+E71+E107+E108+E114+E118+E119</f>
        <v>42007</v>
      </c>
      <c r="F129" s="223">
        <f>E129-D129</f>
        <v>-504</v>
      </c>
      <c r="G129" s="217">
        <f>E129*100/D129</f>
        <v>98.814424501893626</v>
      </c>
      <c r="H129" s="218"/>
    </row>
    <row r="130" spans="1:9" s="90" customFormat="1" ht="22.5">
      <c r="A130" s="412" t="s">
        <v>168</v>
      </c>
      <c r="B130" s="412"/>
      <c r="C130" s="412"/>
      <c r="D130" s="412"/>
      <c r="E130" s="412"/>
      <c r="F130" s="412"/>
      <c r="G130" s="412"/>
      <c r="H130" s="412"/>
    </row>
    <row r="131" spans="1:9" s="90" customFormat="1" ht="45">
      <c r="A131" s="215" t="s">
        <v>280</v>
      </c>
      <c r="B131" s="216">
        <v>1400</v>
      </c>
      <c r="C131" s="141">
        <f>C104</f>
        <v>-36460</v>
      </c>
      <c r="D131" s="141">
        <f>D104</f>
        <v>-41731</v>
      </c>
      <c r="E131" s="141">
        <f>E104</f>
        <v>-40491</v>
      </c>
      <c r="F131" s="165">
        <f>E131-D131</f>
        <v>1240</v>
      </c>
      <c r="G131" s="217">
        <f>E131*100/D131</f>
        <v>97.028587860343634</v>
      </c>
      <c r="H131" s="218"/>
    </row>
    <row r="132" spans="1:9" s="90" customFormat="1" ht="22.5">
      <c r="A132" s="215" t="s">
        <v>281</v>
      </c>
      <c r="B132" s="216">
        <v>1401</v>
      </c>
      <c r="C132" s="141">
        <f>C143</f>
        <v>4045</v>
      </c>
      <c r="D132" s="141">
        <f>D143</f>
        <v>4251</v>
      </c>
      <c r="E132" s="141">
        <f>E143</f>
        <v>4928</v>
      </c>
      <c r="F132" s="165">
        <f>E132-D132</f>
        <v>677</v>
      </c>
      <c r="G132" s="217">
        <f>E132*100/D132</f>
        <v>115.92566454951776</v>
      </c>
      <c r="H132" s="218"/>
    </row>
    <row r="133" spans="1:9" s="90" customFormat="1" ht="45">
      <c r="A133" s="215" t="s">
        <v>282</v>
      </c>
      <c r="B133" s="216">
        <v>1402</v>
      </c>
      <c r="C133" s="141"/>
      <c r="D133" s="141"/>
      <c r="E133" s="141"/>
      <c r="F133" s="165"/>
      <c r="G133" s="217"/>
      <c r="H133" s="218"/>
    </row>
    <row r="134" spans="1:9" s="90" customFormat="1" ht="45">
      <c r="A134" s="215" t="s">
        <v>283</v>
      </c>
      <c r="B134" s="216">
        <v>1403</v>
      </c>
      <c r="C134" s="141"/>
      <c r="D134" s="141"/>
      <c r="E134" s="141"/>
      <c r="F134" s="165"/>
      <c r="G134" s="217"/>
      <c r="H134" s="218"/>
    </row>
    <row r="135" spans="1:9" s="90" customFormat="1" ht="45">
      <c r="A135" s="215" t="s">
        <v>329</v>
      </c>
      <c r="B135" s="216">
        <v>1404</v>
      </c>
      <c r="C135" s="141"/>
      <c r="D135" s="141"/>
      <c r="E135" s="141"/>
      <c r="F135" s="165"/>
      <c r="G135" s="217"/>
      <c r="H135" s="218"/>
    </row>
    <row r="136" spans="1:9" s="91" customFormat="1" ht="21.75">
      <c r="A136" s="226" t="s">
        <v>143</v>
      </c>
      <c r="B136" s="227">
        <v>1410</v>
      </c>
      <c r="C136" s="322">
        <f>C131+C132-C133+C134</f>
        <v>-32415</v>
      </c>
      <c r="D136" s="322">
        <f>D131+D132-D133+D134+D135</f>
        <v>-37480</v>
      </c>
      <c r="E136" s="322">
        <f>E131+E132-E133+E134+E135</f>
        <v>-35563</v>
      </c>
      <c r="F136" s="167">
        <f>E136-D136</f>
        <v>1917</v>
      </c>
      <c r="G136" s="168">
        <f>E136*100/D136</f>
        <v>94.885272145144071</v>
      </c>
      <c r="H136" s="228"/>
    </row>
    <row r="137" spans="1:9" s="90" customFormat="1" ht="22.5">
      <c r="A137" s="415" t="s">
        <v>235</v>
      </c>
      <c r="B137" s="416"/>
      <c r="C137" s="416"/>
      <c r="D137" s="416"/>
      <c r="E137" s="416"/>
      <c r="F137" s="416"/>
      <c r="G137" s="416"/>
      <c r="H137" s="417"/>
    </row>
    <row r="138" spans="1:9" s="90" customFormat="1" ht="22.5">
      <c r="A138" s="215" t="s">
        <v>284</v>
      </c>
      <c r="B138" s="216">
        <v>1500</v>
      </c>
      <c r="C138" s="141">
        <f>C139+C140</f>
        <v>1910</v>
      </c>
      <c r="D138" s="141">
        <f>D139+D140</f>
        <v>3681</v>
      </c>
      <c r="E138" s="141">
        <f>E139+E140</f>
        <v>2612</v>
      </c>
      <c r="F138" s="165">
        <f>E138-D138</f>
        <v>-1069</v>
      </c>
      <c r="G138" s="217">
        <f>E138*100/D138</f>
        <v>70.958978538440647</v>
      </c>
      <c r="H138" s="218"/>
    </row>
    <row r="139" spans="1:9" s="90" customFormat="1" ht="22.5">
      <c r="A139" s="215" t="s">
        <v>285</v>
      </c>
      <c r="B139" s="241">
        <v>1501</v>
      </c>
      <c r="C139" s="321">
        <v>955</v>
      </c>
      <c r="D139" s="321">
        <f>D74+D75+D81</f>
        <v>1671</v>
      </c>
      <c r="E139" s="321">
        <f>E74+E75+E81</f>
        <v>800</v>
      </c>
      <c r="F139" s="165">
        <f t="shared" ref="F139:F140" si="16">E139-D139</f>
        <v>-871</v>
      </c>
      <c r="G139" s="217">
        <f t="shared" ref="G139:G140" si="17">E139*100/D139</f>
        <v>47.875523638539796</v>
      </c>
      <c r="H139" s="225"/>
    </row>
    <row r="140" spans="1:9" s="90" customFormat="1" ht="22.5">
      <c r="A140" s="215" t="s">
        <v>28</v>
      </c>
      <c r="B140" s="241">
        <v>1502</v>
      </c>
      <c r="C140" s="321">
        <v>955</v>
      </c>
      <c r="D140" s="321">
        <f>D83+D80</f>
        <v>2010</v>
      </c>
      <c r="E140" s="321">
        <f>E80+E83</f>
        <v>1812</v>
      </c>
      <c r="F140" s="165">
        <f t="shared" si="16"/>
        <v>-198</v>
      </c>
      <c r="G140" s="217">
        <f t="shared" si="17"/>
        <v>90.149253731343279</v>
      </c>
      <c r="H140" s="225"/>
    </row>
    <row r="141" spans="1:9" s="90" customFormat="1" ht="22.5">
      <c r="A141" s="215" t="s">
        <v>5</v>
      </c>
      <c r="B141" s="242">
        <v>1510</v>
      </c>
      <c r="C141" s="141">
        <f t="shared" ref="C141:E142" si="18">C35+C72</f>
        <v>15680</v>
      </c>
      <c r="D141" s="141">
        <f t="shared" si="18"/>
        <v>15156</v>
      </c>
      <c r="E141" s="141">
        <f t="shared" si="18"/>
        <v>14891</v>
      </c>
      <c r="F141" s="165">
        <f>E141-D141</f>
        <v>-265</v>
      </c>
      <c r="G141" s="217">
        <f>E141*100/D141</f>
        <v>98.251517550804962</v>
      </c>
      <c r="H141" s="218"/>
    </row>
    <row r="142" spans="1:9" s="90" customFormat="1" ht="22.5">
      <c r="A142" s="215" t="s">
        <v>6</v>
      </c>
      <c r="B142" s="242">
        <v>1520</v>
      </c>
      <c r="C142" s="141">
        <f t="shared" si="18"/>
        <v>3465</v>
      </c>
      <c r="D142" s="141">
        <f t="shared" si="18"/>
        <v>3334</v>
      </c>
      <c r="E142" s="141">
        <f t="shared" si="18"/>
        <v>3318</v>
      </c>
      <c r="F142" s="165">
        <f t="shared" ref="F142:F144" si="19">E142-D142</f>
        <v>-16</v>
      </c>
      <c r="G142" s="217">
        <f>E142*100/D142</f>
        <v>99.520095980803845</v>
      </c>
      <c r="H142" s="225"/>
      <c r="I142" s="365"/>
    </row>
    <row r="143" spans="1:9" s="90" customFormat="1" ht="22.5">
      <c r="A143" s="215" t="s">
        <v>7</v>
      </c>
      <c r="B143" s="242">
        <v>1530</v>
      </c>
      <c r="C143" s="141">
        <f>C37+C97</f>
        <v>4045</v>
      </c>
      <c r="D143" s="141">
        <f>D37+D97</f>
        <v>4251</v>
      </c>
      <c r="E143" s="141">
        <f>E37+E97</f>
        <v>4928</v>
      </c>
      <c r="F143" s="165">
        <f>E143-D143</f>
        <v>677</v>
      </c>
      <c r="G143" s="217">
        <f>E143*100/D143</f>
        <v>115.92566454951776</v>
      </c>
      <c r="H143" s="218"/>
    </row>
    <row r="144" spans="1:9" s="90" customFormat="1" ht="22.5">
      <c r="A144" s="215" t="s">
        <v>29</v>
      </c>
      <c r="B144" s="242">
        <v>1540</v>
      </c>
      <c r="C144" s="141">
        <f>C27-C35-C36-C37+C71-C72-C73-C97-C138+C102</f>
        <v>12242</v>
      </c>
      <c r="D144" s="141">
        <f>D27-D35-D36-D37+D71-D72-D73-D97-D138</f>
        <v>16089</v>
      </c>
      <c r="E144" s="141">
        <f>E27-E35-E36-E37+E71-E72-E73-E97-E138+E102</f>
        <v>16300</v>
      </c>
      <c r="F144" s="165">
        <f t="shared" si="19"/>
        <v>211</v>
      </c>
      <c r="G144" s="217">
        <f>E144*100/D144</f>
        <v>101.31145503138791</v>
      </c>
      <c r="H144" s="218"/>
    </row>
    <row r="145" spans="1:8" s="91" customFormat="1" ht="21.75">
      <c r="A145" s="226" t="s">
        <v>57</v>
      </c>
      <c r="B145" s="243">
        <v>1550</v>
      </c>
      <c r="C145" s="322">
        <f>C138+C141+C142+C143+C144</f>
        <v>37342</v>
      </c>
      <c r="D145" s="322">
        <f>SUM(D141:D144)+D138</f>
        <v>42511</v>
      </c>
      <c r="E145" s="322">
        <f>E138+E141+E142+E143+E144</f>
        <v>42049</v>
      </c>
      <c r="F145" s="167">
        <f>E145-D145</f>
        <v>-462</v>
      </c>
      <c r="G145" s="168">
        <f>E145*100/D145</f>
        <v>98.913222460069164</v>
      </c>
      <c r="H145" s="228"/>
    </row>
    <row r="146" spans="1:8" s="91" customFormat="1" ht="15.75" customHeight="1">
      <c r="A146" s="244"/>
      <c r="B146" s="245"/>
      <c r="C146" s="245"/>
      <c r="D146" s="245"/>
      <c r="E146" s="245"/>
      <c r="F146" s="245"/>
      <c r="G146" s="245"/>
      <c r="H146" s="245"/>
    </row>
    <row r="147" spans="1:8" ht="25.5">
      <c r="A147" s="246" t="s">
        <v>402</v>
      </c>
      <c r="B147" s="247"/>
      <c r="C147" s="209"/>
      <c r="D147" s="209"/>
      <c r="E147" s="209"/>
      <c r="F147" s="209"/>
      <c r="G147" s="414" t="s">
        <v>642</v>
      </c>
      <c r="H147" s="414"/>
    </row>
    <row r="148" spans="1:8" s="24" customFormat="1">
      <c r="A148" s="248" t="s">
        <v>387</v>
      </c>
      <c r="B148" s="411" t="s">
        <v>78</v>
      </c>
      <c r="C148" s="411"/>
      <c r="D148" s="411"/>
      <c r="E148" s="411"/>
      <c r="F148" s="160"/>
      <c r="G148" s="160" t="s">
        <v>102</v>
      </c>
      <c r="H148" s="160"/>
    </row>
    <row r="149" spans="1:8">
      <c r="A149" s="249"/>
    </row>
    <row r="150" spans="1:8">
      <c r="A150" s="249"/>
    </row>
    <row r="151" spans="1:8">
      <c r="A151" s="249"/>
    </row>
    <row r="152" spans="1:8">
      <c r="A152" s="249"/>
    </row>
    <row r="153" spans="1:8">
      <c r="A153" s="249"/>
    </row>
    <row r="154" spans="1:8">
      <c r="A154" s="249"/>
    </row>
    <row r="155" spans="1:8">
      <c r="A155" s="249"/>
    </row>
    <row r="156" spans="1:8">
      <c r="A156" s="249"/>
    </row>
    <row r="157" spans="1:8">
      <c r="A157" s="249"/>
    </row>
    <row r="158" spans="1:8">
      <c r="A158" s="249"/>
    </row>
    <row r="159" spans="1:8">
      <c r="A159" s="249"/>
    </row>
    <row r="160" spans="1:8">
      <c r="A160" s="249"/>
    </row>
    <row r="161" spans="1:1">
      <c r="A161" s="249"/>
    </row>
    <row r="162" spans="1:1">
      <c r="A162" s="249"/>
    </row>
    <row r="163" spans="1:1">
      <c r="A163" s="249"/>
    </row>
    <row r="164" spans="1:1">
      <c r="A164" s="249"/>
    </row>
    <row r="165" spans="1:1">
      <c r="A165" s="249"/>
    </row>
    <row r="166" spans="1:1">
      <c r="A166" s="249"/>
    </row>
    <row r="167" spans="1:1">
      <c r="A167" s="249"/>
    </row>
    <row r="168" spans="1:1">
      <c r="A168" s="249"/>
    </row>
    <row r="169" spans="1:1">
      <c r="A169" s="249"/>
    </row>
    <row r="170" spans="1:1">
      <c r="A170" s="249"/>
    </row>
    <row r="171" spans="1:1">
      <c r="A171" s="249"/>
    </row>
    <row r="172" spans="1:1">
      <c r="A172" s="249"/>
    </row>
    <row r="173" spans="1:1">
      <c r="A173" s="249"/>
    </row>
    <row r="174" spans="1:1">
      <c r="A174" s="249"/>
    </row>
    <row r="175" spans="1:1">
      <c r="A175" s="249"/>
    </row>
    <row r="176" spans="1:1">
      <c r="A176" s="249"/>
    </row>
    <row r="177" spans="1:1">
      <c r="A177" s="249"/>
    </row>
    <row r="178" spans="1:1">
      <c r="A178" s="249"/>
    </row>
    <row r="179" spans="1:1">
      <c r="A179" s="249"/>
    </row>
    <row r="180" spans="1:1">
      <c r="A180" s="249"/>
    </row>
    <row r="181" spans="1:1">
      <c r="A181" s="249"/>
    </row>
    <row r="182" spans="1:1">
      <c r="A182" s="249"/>
    </row>
    <row r="183" spans="1:1">
      <c r="A183" s="249"/>
    </row>
    <row r="184" spans="1:1">
      <c r="A184" s="249"/>
    </row>
    <row r="185" spans="1:1">
      <c r="A185" s="249"/>
    </row>
    <row r="186" spans="1:1">
      <c r="A186" s="249"/>
    </row>
    <row r="187" spans="1:1">
      <c r="A187" s="249"/>
    </row>
    <row r="188" spans="1:1">
      <c r="A188" s="249"/>
    </row>
    <row r="189" spans="1:1">
      <c r="A189" s="249"/>
    </row>
    <row r="190" spans="1:1">
      <c r="A190" s="249"/>
    </row>
    <row r="191" spans="1:1">
      <c r="A191" s="249"/>
    </row>
    <row r="192" spans="1:1">
      <c r="A192" s="249"/>
    </row>
    <row r="193" spans="1:1">
      <c r="A193" s="249"/>
    </row>
    <row r="194" spans="1:1">
      <c r="A194" s="249"/>
    </row>
    <row r="195" spans="1:1">
      <c r="A195" s="249"/>
    </row>
    <row r="196" spans="1:1">
      <c r="A196" s="249"/>
    </row>
    <row r="197" spans="1:1">
      <c r="A197" s="249"/>
    </row>
    <row r="198" spans="1:1">
      <c r="A198" s="249"/>
    </row>
    <row r="199" spans="1:1">
      <c r="A199" s="249"/>
    </row>
    <row r="200" spans="1:1">
      <c r="A200" s="249"/>
    </row>
    <row r="201" spans="1:1">
      <c r="A201" s="249"/>
    </row>
    <row r="202" spans="1:1">
      <c r="A202" s="249"/>
    </row>
    <row r="203" spans="1:1">
      <c r="A203" s="249"/>
    </row>
    <row r="204" spans="1:1">
      <c r="A204" s="249"/>
    </row>
    <row r="205" spans="1:1">
      <c r="A205" s="251"/>
    </row>
    <row r="206" spans="1:1">
      <c r="A206" s="251"/>
    </row>
    <row r="207" spans="1:1">
      <c r="A207" s="251"/>
    </row>
    <row r="208" spans="1:1">
      <c r="A208" s="251"/>
    </row>
    <row r="209" spans="1:1">
      <c r="A209" s="251"/>
    </row>
    <row r="210" spans="1:1">
      <c r="A210" s="251"/>
    </row>
    <row r="211" spans="1:1">
      <c r="A211" s="251"/>
    </row>
    <row r="212" spans="1:1">
      <c r="A212" s="251"/>
    </row>
    <row r="213" spans="1:1">
      <c r="A213" s="251"/>
    </row>
    <row r="214" spans="1:1">
      <c r="A214" s="251"/>
    </row>
    <row r="215" spans="1:1">
      <c r="A215" s="251"/>
    </row>
    <row r="216" spans="1:1">
      <c r="A216" s="251"/>
    </row>
    <row r="217" spans="1:1">
      <c r="A217" s="251"/>
    </row>
    <row r="218" spans="1:1">
      <c r="A218" s="251"/>
    </row>
    <row r="219" spans="1:1">
      <c r="A219" s="251"/>
    </row>
    <row r="220" spans="1:1">
      <c r="A220" s="251"/>
    </row>
    <row r="221" spans="1:1">
      <c r="A221" s="251"/>
    </row>
    <row r="222" spans="1:1">
      <c r="A222" s="251"/>
    </row>
    <row r="223" spans="1:1">
      <c r="A223" s="251"/>
    </row>
    <row r="224" spans="1:1">
      <c r="A224" s="251"/>
    </row>
    <row r="225" spans="1:1">
      <c r="A225" s="251"/>
    </row>
    <row r="226" spans="1:1">
      <c r="A226" s="251"/>
    </row>
    <row r="227" spans="1:1">
      <c r="A227" s="251"/>
    </row>
    <row r="228" spans="1:1">
      <c r="A228" s="251"/>
    </row>
    <row r="229" spans="1:1">
      <c r="A229" s="251"/>
    </row>
    <row r="230" spans="1:1">
      <c r="A230" s="251"/>
    </row>
    <row r="231" spans="1:1">
      <c r="A231" s="251"/>
    </row>
    <row r="232" spans="1:1">
      <c r="A232" s="251"/>
    </row>
    <row r="233" spans="1:1">
      <c r="A233" s="251"/>
    </row>
    <row r="234" spans="1:1">
      <c r="A234" s="251"/>
    </row>
    <row r="235" spans="1:1">
      <c r="A235" s="251"/>
    </row>
    <row r="236" spans="1:1">
      <c r="A236" s="251"/>
    </row>
    <row r="237" spans="1:1">
      <c r="A237" s="251"/>
    </row>
    <row r="238" spans="1:1">
      <c r="A238" s="251"/>
    </row>
    <row r="239" spans="1:1">
      <c r="A239" s="251"/>
    </row>
    <row r="240" spans="1:1">
      <c r="A240" s="251"/>
    </row>
    <row r="241" spans="1:1">
      <c r="A241" s="251"/>
    </row>
    <row r="242" spans="1:1">
      <c r="A242" s="251"/>
    </row>
    <row r="243" spans="1:1">
      <c r="A243" s="251"/>
    </row>
    <row r="244" spans="1:1">
      <c r="A244" s="251"/>
    </row>
    <row r="245" spans="1:1">
      <c r="A245" s="251"/>
    </row>
    <row r="246" spans="1:1">
      <c r="A246" s="251"/>
    </row>
    <row r="247" spans="1:1">
      <c r="A247" s="251"/>
    </row>
    <row r="248" spans="1:1">
      <c r="A248" s="251"/>
    </row>
    <row r="249" spans="1:1">
      <c r="A249" s="251"/>
    </row>
    <row r="250" spans="1:1">
      <c r="A250" s="251"/>
    </row>
    <row r="251" spans="1:1">
      <c r="A251" s="251"/>
    </row>
    <row r="252" spans="1:1">
      <c r="A252" s="251"/>
    </row>
    <row r="253" spans="1:1">
      <c r="A253" s="251"/>
    </row>
    <row r="254" spans="1:1">
      <c r="A254" s="251"/>
    </row>
    <row r="255" spans="1:1">
      <c r="A255" s="251"/>
    </row>
    <row r="256" spans="1:1">
      <c r="A256" s="251"/>
    </row>
    <row r="257" spans="1:1">
      <c r="A257" s="251"/>
    </row>
    <row r="258" spans="1:1">
      <c r="A258" s="251"/>
    </row>
    <row r="259" spans="1:1">
      <c r="A259" s="251"/>
    </row>
    <row r="260" spans="1:1">
      <c r="A260" s="251"/>
    </row>
    <row r="261" spans="1:1">
      <c r="A261" s="251"/>
    </row>
    <row r="262" spans="1:1">
      <c r="A262" s="251"/>
    </row>
    <row r="263" spans="1:1">
      <c r="A263" s="251"/>
    </row>
    <row r="264" spans="1:1">
      <c r="A264" s="251"/>
    </row>
    <row r="265" spans="1:1">
      <c r="A265" s="251"/>
    </row>
    <row r="266" spans="1:1">
      <c r="A266" s="251"/>
    </row>
    <row r="267" spans="1:1">
      <c r="A267" s="251"/>
    </row>
    <row r="268" spans="1:1">
      <c r="A268" s="251"/>
    </row>
    <row r="269" spans="1:1">
      <c r="A269" s="251"/>
    </row>
    <row r="270" spans="1:1">
      <c r="A270" s="251"/>
    </row>
    <row r="271" spans="1:1">
      <c r="A271" s="251"/>
    </row>
    <row r="272" spans="1:1">
      <c r="A272" s="251"/>
    </row>
    <row r="273" spans="1:1">
      <c r="A273" s="251"/>
    </row>
    <row r="274" spans="1:1">
      <c r="A274" s="251"/>
    </row>
    <row r="275" spans="1:1">
      <c r="A275" s="251"/>
    </row>
    <row r="276" spans="1:1">
      <c r="A276" s="251"/>
    </row>
    <row r="277" spans="1:1">
      <c r="A277" s="251"/>
    </row>
    <row r="278" spans="1:1">
      <c r="A278" s="251"/>
    </row>
    <row r="279" spans="1:1">
      <c r="A279" s="251"/>
    </row>
    <row r="280" spans="1:1">
      <c r="A280" s="251"/>
    </row>
    <row r="281" spans="1:1">
      <c r="A281" s="251"/>
    </row>
    <row r="282" spans="1:1">
      <c r="A282" s="251"/>
    </row>
    <row r="283" spans="1:1">
      <c r="A283" s="251"/>
    </row>
    <row r="284" spans="1:1">
      <c r="A284" s="251"/>
    </row>
    <row r="285" spans="1:1">
      <c r="A285" s="251"/>
    </row>
    <row r="286" spans="1:1">
      <c r="A286" s="251"/>
    </row>
    <row r="287" spans="1:1">
      <c r="A287" s="251"/>
    </row>
    <row r="288" spans="1:1">
      <c r="A288" s="251"/>
    </row>
    <row r="289" spans="1:1">
      <c r="A289" s="251"/>
    </row>
    <row r="290" spans="1:1">
      <c r="A290" s="251"/>
    </row>
    <row r="291" spans="1:1">
      <c r="A291" s="251"/>
    </row>
    <row r="292" spans="1:1">
      <c r="A292" s="251"/>
    </row>
    <row r="293" spans="1:1">
      <c r="A293" s="251"/>
    </row>
    <row r="294" spans="1:1">
      <c r="A294" s="251"/>
    </row>
    <row r="295" spans="1:1">
      <c r="A295" s="251"/>
    </row>
    <row r="296" spans="1:1">
      <c r="A296" s="251"/>
    </row>
    <row r="297" spans="1:1">
      <c r="A297" s="251"/>
    </row>
    <row r="298" spans="1:1">
      <c r="A298" s="251"/>
    </row>
    <row r="299" spans="1:1">
      <c r="A299" s="251"/>
    </row>
    <row r="300" spans="1:1">
      <c r="A300" s="251"/>
    </row>
    <row r="301" spans="1:1">
      <c r="A301" s="251"/>
    </row>
    <row r="302" spans="1:1">
      <c r="A302" s="251"/>
    </row>
    <row r="303" spans="1:1">
      <c r="A303" s="251"/>
    </row>
    <row r="304" spans="1:1">
      <c r="A304" s="251"/>
    </row>
    <row r="305" spans="1:1">
      <c r="A305" s="251"/>
    </row>
    <row r="306" spans="1:1">
      <c r="A306" s="251"/>
    </row>
    <row r="307" spans="1:1">
      <c r="A307" s="251"/>
    </row>
    <row r="308" spans="1:1">
      <c r="A308" s="251"/>
    </row>
    <row r="309" spans="1:1">
      <c r="A309" s="251"/>
    </row>
    <row r="310" spans="1:1">
      <c r="A310" s="251"/>
    </row>
    <row r="311" spans="1:1">
      <c r="A311" s="251"/>
    </row>
    <row r="312" spans="1:1">
      <c r="A312" s="251"/>
    </row>
    <row r="313" spans="1:1">
      <c r="A313" s="251"/>
    </row>
    <row r="314" spans="1:1">
      <c r="A314" s="251"/>
    </row>
    <row r="315" spans="1:1">
      <c r="A315" s="251"/>
    </row>
    <row r="316" spans="1:1">
      <c r="A316" s="251"/>
    </row>
    <row r="317" spans="1:1">
      <c r="A317" s="251"/>
    </row>
    <row r="318" spans="1:1">
      <c r="A318" s="251"/>
    </row>
    <row r="319" spans="1:1">
      <c r="A319" s="251"/>
    </row>
    <row r="320" spans="1:1">
      <c r="A320" s="251"/>
    </row>
    <row r="321" spans="1:1">
      <c r="A321" s="251"/>
    </row>
    <row r="322" spans="1:1">
      <c r="A322" s="251"/>
    </row>
    <row r="323" spans="1:1">
      <c r="A323" s="251"/>
    </row>
    <row r="324" spans="1:1">
      <c r="A324" s="251"/>
    </row>
    <row r="325" spans="1:1">
      <c r="A325" s="251"/>
    </row>
    <row r="326" spans="1:1">
      <c r="A326" s="251"/>
    </row>
    <row r="327" spans="1:1">
      <c r="A327" s="251"/>
    </row>
    <row r="328" spans="1:1">
      <c r="A328" s="251"/>
    </row>
    <row r="329" spans="1:1">
      <c r="A329" s="251"/>
    </row>
    <row r="330" spans="1:1">
      <c r="A330" s="251"/>
    </row>
    <row r="331" spans="1:1">
      <c r="A331" s="251"/>
    </row>
    <row r="332" spans="1:1">
      <c r="A332" s="251"/>
    </row>
    <row r="333" spans="1:1">
      <c r="A333" s="251"/>
    </row>
    <row r="334" spans="1:1">
      <c r="A334" s="251"/>
    </row>
    <row r="335" spans="1:1">
      <c r="A335" s="251"/>
    </row>
    <row r="336" spans="1:1">
      <c r="A336" s="251"/>
    </row>
    <row r="337" spans="1:1">
      <c r="A337" s="251"/>
    </row>
    <row r="338" spans="1:1">
      <c r="A338" s="251"/>
    </row>
    <row r="339" spans="1:1">
      <c r="A339" s="251"/>
    </row>
    <row r="340" spans="1:1">
      <c r="A340" s="251"/>
    </row>
    <row r="341" spans="1:1">
      <c r="A341" s="251"/>
    </row>
    <row r="342" spans="1:1">
      <c r="A342" s="251"/>
    </row>
    <row r="343" spans="1:1">
      <c r="A343" s="251"/>
    </row>
    <row r="344" spans="1:1">
      <c r="A344" s="251"/>
    </row>
    <row r="345" spans="1:1">
      <c r="A345" s="251"/>
    </row>
    <row r="346" spans="1:1">
      <c r="A346" s="251"/>
    </row>
    <row r="347" spans="1:1">
      <c r="A347" s="251"/>
    </row>
    <row r="348" spans="1:1">
      <c r="A348" s="251"/>
    </row>
    <row r="349" spans="1:1">
      <c r="A349" s="251"/>
    </row>
    <row r="350" spans="1:1">
      <c r="A350" s="251"/>
    </row>
    <row r="351" spans="1:1">
      <c r="A351" s="251"/>
    </row>
    <row r="352" spans="1:1">
      <c r="A352" s="251"/>
    </row>
    <row r="353" spans="1:1">
      <c r="A353" s="251"/>
    </row>
    <row r="354" spans="1:1">
      <c r="A354" s="251"/>
    </row>
    <row r="355" spans="1:1">
      <c r="A355" s="251"/>
    </row>
    <row r="356" spans="1:1">
      <c r="A356" s="251"/>
    </row>
    <row r="357" spans="1:1">
      <c r="A357" s="251"/>
    </row>
    <row r="358" spans="1:1">
      <c r="A358" s="251"/>
    </row>
    <row r="359" spans="1:1">
      <c r="A359" s="251"/>
    </row>
    <row r="360" spans="1:1">
      <c r="A360" s="251"/>
    </row>
    <row r="361" spans="1:1">
      <c r="A361" s="251"/>
    </row>
    <row r="362" spans="1:1">
      <c r="A362" s="251"/>
    </row>
    <row r="363" spans="1:1">
      <c r="A363" s="251"/>
    </row>
    <row r="364" spans="1:1">
      <c r="A364" s="251"/>
    </row>
    <row r="365" spans="1:1">
      <c r="A365" s="251"/>
    </row>
    <row r="366" spans="1:1">
      <c r="A366" s="251"/>
    </row>
    <row r="367" spans="1:1">
      <c r="A367" s="251"/>
    </row>
    <row r="368" spans="1:1">
      <c r="A368" s="251"/>
    </row>
    <row r="369" spans="1:1">
      <c r="A369" s="251"/>
    </row>
    <row r="370" spans="1:1">
      <c r="A370" s="251"/>
    </row>
    <row r="371" spans="1:1">
      <c r="A371" s="251"/>
    </row>
  </sheetData>
  <mergeCells count="11">
    <mergeCell ref="A7:H7"/>
    <mergeCell ref="B148:E148"/>
    <mergeCell ref="A124:H124"/>
    <mergeCell ref="A130:H130"/>
    <mergeCell ref="A3:H3"/>
    <mergeCell ref="G147:H147"/>
    <mergeCell ref="A137:H137"/>
    <mergeCell ref="D4:H4"/>
    <mergeCell ref="B4:B5"/>
    <mergeCell ref="A4:A5"/>
    <mergeCell ref="C4:C5"/>
  </mergeCells>
  <phoneticPr fontId="0" type="noConversion"/>
  <pageMargins left="0.78740157480314965" right="0.39370078740157483" top="0.59055118110236227" bottom="0.59055118110236227" header="0.19685039370078741" footer="0.11811023622047245"/>
  <pageSetup paperSize="9" scale="48" fitToHeight="3" orientation="portrait" verticalDpi="300" copies="4" r:id="rId1"/>
  <headerFooter alignWithMargins="0"/>
  <drawing r:id="rId2"/>
</worksheet>
</file>

<file path=xl/worksheets/sheet3.xml><?xml version="1.0" encoding="utf-8"?>
<worksheet xmlns="http://schemas.openxmlformats.org/spreadsheetml/2006/main" xmlns:r="http://schemas.openxmlformats.org/officeDocument/2006/relationships">
  <sheetPr>
    <tabColor rgb="FFFFFF00"/>
    <pageSetUpPr fitToPage="1"/>
  </sheetPr>
  <dimension ref="A1:I188"/>
  <sheetViews>
    <sheetView view="pageBreakPreview" topLeftCell="A3" zoomScale="80" zoomScaleNormal="75" zoomScaleSheetLayoutView="80" workbookViewId="0">
      <pane xSplit="1" ySplit="5" topLeftCell="B29" activePane="bottomRight" state="frozen"/>
      <selection activeCell="A3" sqref="A3"/>
      <selection pane="topRight" activeCell="B3" sqref="B3"/>
      <selection pane="bottomLeft" activeCell="A8" sqref="A8"/>
      <selection pane="bottomRight" activeCell="E39" sqref="E39"/>
    </sheetView>
  </sheetViews>
  <sheetFormatPr defaultRowHeight="20.25" outlineLevelRow="1"/>
  <cols>
    <col min="1" max="1" width="64.140625" style="33" customWidth="1"/>
    <col min="2" max="2" width="15.28515625" style="34" customWidth="1"/>
    <col min="3" max="3" width="18.7109375" style="34" customWidth="1"/>
    <col min="4" max="4" width="14.5703125" style="34" customWidth="1"/>
    <col min="5" max="5" width="16" style="34" customWidth="1"/>
    <col min="6" max="6" width="18.7109375" style="34" customWidth="1"/>
    <col min="7" max="7" width="15.5703125" style="34" customWidth="1"/>
    <col min="8" max="8" width="10" style="33" customWidth="1"/>
    <col min="9" max="9" width="9.5703125" style="33" customWidth="1"/>
    <col min="10" max="16384" width="9.140625" style="33"/>
  </cols>
  <sheetData>
    <row r="1" spans="1:7" hidden="1" outlineLevel="1">
      <c r="G1" s="26" t="s">
        <v>240</v>
      </c>
    </row>
    <row r="2" spans="1:7" hidden="1" outlineLevel="1">
      <c r="G2" s="26" t="s">
        <v>225</v>
      </c>
    </row>
    <row r="3" spans="1:7" collapsed="1">
      <c r="A3" s="427" t="s">
        <v>376</v>
      </c>
      <c r="B3" s="427"/>
      <c r="C3" s="427"/>
      <c r="D3" s="427"/>
      <c r="E3" s="427"/>
      <c r="F3" s="427"/>
      <c r="G3" s="427"/>
    </row>
    <row r="4" spans="1:7" ht="38.25" customHeight="1">
      <c r="A4" s="428" t="s">
        <v>286</v>
      </c>
      <c r="B4" s="429" t="s">
        <v>18</v>
      </c>
      <c r="C4" s="430" t="s">
        <v>357</v>
      </c>
      <c r="D4" s="428" t="s">
        <v>355</v>
      </c>
      <c r="E4" s="428"/>
      <c r="F4" s="428"/>
      <c r="G4" s="428"/>
    </row>
    <row r="5" spans="1:7" ht="38.25" customHeight="1">
      <c r="A5" s="428"/>
      <c r="B5" s="429"/>
      <c r="C5" s="431"/>
      <c r="D5" s="17" t="s">
        <v>264</v>
      </c>
      <c r="E5" s="17" t="s">
        <v>247</v>
      </c>
      <c r="F5" s="18" t="s">
        <v>274</v>
      </c>
      <c r="G5" s="18" t="s">
        <v>275</v>
      </c>
    </row>
    <row r="6" spans="1:7">
      <c r="A6" s="29">
        <v>1</v>
      </c>
      <c r="B6" s="31">
        <v>2</v>
      </c>
      <c r="C6" s="29">
        <v>3</v>
      </c>
      <c r="D6" s="29">
        <v>4</v>
      </c>
      <c r="E6" s="31">
        <v>5</v>
      </c>
      <c r="F6" s="29">
        <v>6</v>
      </c>
      <c r="G6" s="31">
        <v>7</v>
      </c>
    </row>
    <row r="7" spans="1:7">
      <c r="A7" s="424" t="s">
        <v>152</v>
      </c>
      <c r="B7" s="425"/>
      <c r="C7" s="425"/>
      <c r="D7" s="425"/>
      <c r="E7" s="425"/>
      <c r="F7" s="425"/>
      <c r="G7" s="426"/>
    </row>
    <row r="8" spans="1:7" ht="45.75" customHeight="1">
      <c r="A8" s="93" t="s">
        <v>59</v>
      </c>
      <c r="B8" s="15">
        <v>2000</v>
      </c>
      <c r="C8" s="358">
        <v>-77608</v>
      </c>
      <c r="D8" s="371">
        <v>-110091</v>
      </c>
      <c r="E8" s="371">
        <v>-110091</v>
      </c>
      <c r="F8" s="169">
        <f>E8-D8</f>
        <v>0</v>
      </c>
      <c r="G8" s="20">
        <f>E8*100/D8</f>
        <v>100</v>
      </c>
    </row>
    <row r="9" spans="1:7" ht="40.5">
      <c r="A9" s="22" t="s">
        <v>207</v>
      </c>
      <c r="B9" s="15">
        <v>2010</v>
      </c>
      <c r="C9" s="358"/>
      <c r="D9" s="358"/>
      <c r="E9" s="358"/>
      <c r="F9" s="169"/>
      <c r="G9" s="20"/>
    </row>
    <row r="10" spans="1:7" ht="40.5">
      <c r="A10" s="21" t="s">
        <v>361</v>
      </c>
      <c r="B10" s="15">
        <v>2011</v>
      </c>
      <c r="C10" s="358"/>
      <c r="D10" s="358"/>
      <c r="E10" s="358"/>
      <c r="F10" s="169"/>
      <c r="G10" s="20"/>
    </row>
    <row r="11" spans="1:7" ht="93.75">
      <c r="A11" s="3" t="s">
        <v>362</v>
      </c>
      <c r="B11" s="15">
        <v>2012</v>
      </c>
      <c r="C11" s="358"/>
      <c r="D11" s="358"/>
      <c r="E11" s="358"/>
      <c r="F11" s="169"/>
      <c r="G11" s="20"/>
    </row>
    <row r="12" spans="1:7">
      <c r="A12" s="21" t="s">
        <v>194</v>
      </c>
      <c r="B12" s="15">
        <v>2020</v>
      </c>
      <c r="C12" s="358"/>
      <c r="D12" s="358"/>
      <c r="E12" s="358"/>
      <c r="F12" s="169"/>
      <c r="G12" s="20"/>
    </row>
    <row r="13" spans="1:7" s="35" customFormat="1">
      <c r="A13" s="22" t="s">
        <v>71</v>
      </c>
      <c r="B13" s="15">
        <v>2030</v>
      </c>
      <c r="C13" s="358"/>
      <c r="D13" s="358"/>
      <c r="E13" s="358"/>
      <c r="F13" s="169"/>
      <c r="G13" s="20"/>
    </row>
    <row r="14" spans="1:7" ht="24" customHeight="1">
      <c r="A14" s="5" t="s">
        <v>132</v>
      </c>
      <c r="B14" s="15">
        <v>2031</v>
      </c>
      <c r="C14" s="358"/>
      <c r="D14" s="358"/>
      <c r="E14" s="358"/>
      <c r="F14" s="169"/>
      <c r="G14" s="20"/>
    </row>
    <row r="15" spans="1:7">
      <c r="A15" s="22" t="s">
        <v>26</v>
      </c>
      <c r="B15" s="15">
        <v>2040</v>
      </c>
      <c r="C15" s="358"/>
      <c r="D15" s="358"/>
      <c r="E15" s="358"/>
      <c r="F15" s="169"/>
      <c r="G15" s="20"/>
    </row>
    <row r="16" spans="1:7">
      <c r="A16" s="22" t="s">
        <v>114</v>
      </c>
      <c r="B16" s="15">
        <v>2050</v>
      </c>
      <c r="C16" s="358"/>
      <c r="D16" s="358"/>
      <c r="E16" s="358"/>
      <c r="F16" s="169"/>
      <c r="G16" s="20"/>
    </row>
    <row r="17" spans="1:7">
      <c r="A17" s="22" t="s">
        <v>115</v>
      </c>
      <c r="B17" s="15">
        <v>2060</v>
      </c>
      <c r="C17" s="358"/>
      <c r="D17" s="358"/>
      <c r="E17" s="358"/>
      <c r="F17" s="169"/>
      <c r="G17" s="20"/>
    </row>
    <row r="18" spans="1:7">
      <c r="A18" s="346"/>
      <c r="B18" s="347"/>
      <c r="C18" s="163"/>
      <c r="D18" s="358"/>
      <c r="E18" s="358"/>
      <c r="F18" s="313"/>
      <c r="G18" s="345"/>
    </row>
    <row r="19" spans="1:7" ht="45" customHeight="1">
      <c r="A19" s="22" t="s">
        <v>60</v>
      </c>
      <c r="B19" s="15">
        <v>2070</v>
      </c>
      <c r="C19" s="366">
        <v>-99963</v>
      </c>
      <c r="D19" s="371">
        <v>-135237</v>
      </c>
      <c r="E19" s="371">
        <v>-135795</v>
      </c>
      <c r="F19" s="169">
        <f>E19-D19</f>
        <v>-558</v>
      </c>
      <c r="G19" s="20">
        <f>E19*100/D19</f>
        <v>100.41260897535437</v>
      </c>
    </row>
    <row r="20" spans="1:7" ht="41.25" customHeight="1">
      <c r="A20" s="424" t="s">
        <v>153</v>
      </c>
      <c r="B20" s="425"/>
      <c r="C20" s="425"/>
      <c r="D20" s="425"/>
      <c r="E20" s="425"/>
      <c r="F20" s="425"/>
      <c r="G20" s="426"/>
    </row>
    <row r="21" spans="1:7" ht="40.5">
      <c r="A21" s="22" t="s">
        <v>207</v>
      </c>
      <c r="B21" s="15">
        <v>2100</v>
      </c>
      <c r="C21" s="282"/>
      <c r="D21" s="319"/>
      <c r="E21" s="319"/>
      <c r="F21" s="169"/>
      <c r="G21" s="20"/>
    </row>
    <row r="22" spans="1:7" ht="40.5">
      <c r="A22" s="21" t="s">
        <v>361</v>
      </c>
      <c r="B22" s="15">
        <v>2101</v>
      </c>
      <c r="C22" s="282"/>
      <c r="D22" s="319"/>
      <c r="E22" s="319"/>
      <c r="F22" s="169"/>
      <c r="G22" s="20"/>
    </row>
    <row r="23" spans="1:7" ht="93.75">
      <c r="A23" s="3" t="s">
        <v>362</v>
      </c>
      <c r="B23" s="15">
        <v>2102</v>
      </c>
      <c r="C23" s="282"/>
      <c r="D23" s="319"/>
      <c r="E23" s="319"/>
      <c r="F23" s="169"/>
      <c r="G23" s="20"/>
    </row>
    <row r="24" spans="1:7" s="35" customFormat="1">
      <c r="A24" s="22" t="s">
        <v>155</v>
      </c>
      <c r="B24" s="29">
        <v>2110</v>
      </c>
      <c r="C24" s="283"/>
      <c r="D24" s="283"/>
      <c r="E24" s="283"/>
      <c r="F24" s="170"/>
      <c r="G24" s="36"/>
    </row>
    <row r="25" spans="1:7" ht="60.75">
      <c r="A25" s="22" t="s">
        <v>341</v>
      </c>
      <c r="B25" s="29">
        <v>2120</v>
      </c>
      <c r="C25" s="283"/>
      <c r="D25" s="283"/>
      <c r="E25" s="283"/>
      <c r="F25" s="170"/>
      <c r="G25" s="36"/>
    </row>
    <row r="26" spans="1:7" ht="61.5" customHeight="1">
      <c r="A26" s="22" t="s">
        <v>342</v>
      </c>
      <c r="B26" s="29">
        <v>2130</v>
      </c>
      <c r="C26" s="283"/>
      <c r="D26" s="283"/>
      <c r="E26" s="283"/>
      <c r="F26" s="170"/>
      <c r="G26" s="36"/>
    </row>
    <row r="27" spans="1:7" s="30" customFormat="1" ht="39.75" customHeight="1">
      <c r="A27" s="7" t="s">
        <v>256</v>
      </c>
      <c r="B27" s="37">
        <v>2140</v>
      </c>
      <c r="C27" s="301">
        <f>C28+C29+C30+C31+C32+C35+C36</f>
        <v>3075</v>
      </c>
      <c r="D27" s="301">
        <f>SUM(D28:D32)+D35+D36</f>
        <v>2955</v>
      </c>
      <c r="E27" s="301">
        <f>SUM(E28:E32)+E35+E36</f>
        <v>2932</v>
      </c>
      <c r="F27" s="171">
        <f>E27-D27</f>
        <v>-23</v>
      </c>
      <c r="G27" s="142">
        <f>E27*100/D27</f>
        <v>99.22165820642978</v>
      </c>
    </row>
    <row r="28" spans="1:7">
      <c r="A28" s="22" t="s">
        <v>84</v>
      </c>
      <c r="B28" s="29">
        <v>2141</v>
      </c>
      <c r="C28" s="283"/>
      <c r="D28" s="283"/>
      <c r="E28" s="283"/>
      <c r="F28" s="170"/>
      <c r="G28" s="36"/>
    </row>
    <row r="29" spans="1:7">
      <c r="A29" s="22" t="s">
        <v>104</v>
      </c>
      <c r="B29" s="29">
        <v>2142</v>
      </c>
      <c r="C29" s="283"/>
      <c r="D29" s="283"/>
      <c r="E29" s="283"/>
      <c r="F29" s="170"/>
      <c r="G29" s="36"/>
    </row>
    <row r="30" spans="1:7">
      <c r="A30" s="22" t="s">
        <v>99</v>
      </c>
      <c r="B30" s="29">
        <v>2143</v>
      </c>
      <c r="C30" s="283"/>
      <c r="D30" s="283"/>
      <c r="E30" s="283"/>
      <c r="F30" s="170"/>
      <c r="G30" s="36"/>
    </row>
    <row r="31" spans="1:7">
      <c r="A31" s="22" t="s">
        <v>82</v>
      </c>
      <c r="B31" s="29">
        <v>2144</v>
      </c>
      <c r="C31" s="283">
        <v>2838</v>
      </c>
      <c r="D31" s="283">
        <v>2728</v>
      </c>
      <c r="E31" s="283">
        <v>2706</v>
      </c>
      <c r="F31" s="170">
        <f>E31-D31</f>
        <v>-22</v>
      </c>
      <c r="G31" s="36">
        <f>E31*100/D31</f>
        <v>99.193548387096769</v>
      </c>
    </row>
    <row r="32" spans="1:7" s="35" customFormat="1">
      <c r="A32" s="22" t="s">
        <v>174</v>
      </c>
      <c r="B32" s="29">
        <v>2145</v>
      </c>
      <c r="C32" s="283"/>
      <c r="D32" s="283"/>
      <c r="E32" s="283"/>
      <c r="F32" s="170"/>
      <c r="G32" s="36"/>
    </row>
    <row r="33" spans="1:9" ht="60.75">
      <c r="A33" s="22" t="s">
        <v>133</v>
      </c>
      <c r="B33" s="29" t="s">
        <v>221</v>
      </c>
      <c r="C33" s="283"/>
      <c r="D33" s="283"/>
      <c r="E33" s="283"/>
      <c r="F33" s="170"/>
      <c r="G33" s="36"/>
    </row>
    <row r="34" spans="1:9">
      <c r="A34" s="22" t="s">
        <v>27</v>
      </c>
      <c r="B34" s="29" t="s">
        <v>222</v>
      </c>
      <c r="C34" s="283"/>
      <c r="D34" s="283"/>
      <c r="E34" s="283"/>
      <c r="F34" s="170"/>
      <c r="G34" s="36"/>
    </row>
    <row r="35" spans="1:9" s="35" customFormat="1">
      <c r="A35" s="22" t="s">
        <v>116</v>
      </c>
      <c r="B35" s="29">
        <v>2146</v>
      </c>
      <c r="C35" s="283"/>
      <c r="D35" s="283"/>
      <c r="E35" s="283"/>
      <c r="F35" s="170"/>
      <c r="G35" s="36"/>
    </row>
    <row r="36" spans="1:9">
      <c r="A36" s="22" t="s">
        <v>88</v>
      </c>
      <c r="B36" s="29">
        <v>2147</v>
      </c>
      <c r="C36" s="283">
        <f>C37</f>
        <v>237</v>
      </c>
      <c r="D36" s="283">
        <f>D37</f>
        <v>227</v>
      </c>
      <c r="E36" s="283">
        <f>E37</f>
        <v>226</v>
      </c>
      <c r="F36" s="170">
        <f>E36-D36</f>
        <v>-1</v>
      </c>
      <c r="G36" s="36">
        <f>E36*100/D36</f>
        <v>99.559471365638771</v>
      </c>
    </row>
    <row r="37" spans="1:9">
      <c r="A37" s="22" t="s">
        <v>470</v>
      </c>
      <c r="B37" s="29" t="s">
        <v>471</v>
      </c>
      <c r="C37" s="283">
        <v>237</v>
      </c>
      <c r="D37" s="283">
        <v>227</v>
      </c>
      <c r="E37" s="283">
        <v>226</v>
      </c>
      <c r="F37" s="170">
        <f t="shared" ref="F37:F38" si="0">E37-D37</f>
        <v>-1</v>
      </c>
      <c r="G37" s="36">
        <f>E37*100/D37</f>
        <v>99.559471365638771</v>
      </c>
    </row>
    <row r="38" spans="1:9" s="35" customFormat="1" ht="40.5">
      <c r="A38" s="22" t="s">
        <v>83</v>
      </c>
      <c r="B38" s="29">
        <v>2150</v>
      </c>
      <c r="C38" s="283">
        <f>'1. Фін результат'!C142</f>
        <v>3465</v>
      </c>
      <c r="D38" s="283">
        <f>'1. Фін результат'!D142</f>
        <v>3334</v>
      </c>
      <c r="E38" s="283">
        <f>'1. Фін результат'!E142</f>
        <v>3318</v>
      </c>
      <c r="F38" s="170">
        <f t="shared" si="0"/>
        <v>-16</v>
      </c>
      <c r="G38" s="36">
        <f>E38*100/D38</f>
        <v>99.520095980803845</v>
      </c>
    </row>
    <row r="39" spans="1:9" s="35" customFormat="1">
      <c r="A39" s="32" t="s">
        <v>360</v>
      </c>
      <c r="B39" s="37">
        <v>2200</v>
      </c>
      <c r="C39" s="301">
        <f>C27+C38</f>
        <v>6540</v>
      </c>
      <c r="D39" s="301">
        <f>D27+D38</f>
        <v>6289</v>
      </c>
      <c r="E39" s="301">
        <f>E27+E38</f>
        <v>6250</v>
      </c>
      <c r="F39" s="171">
        <f>E39-D39</f>
        <v>-39</v>
      </c>
      <c r="G39" s="142">
        <f>E39*100/D39</f>
        <v>99.379869613611064</v>
      </c>
    </row>
    <row r="40" spans="1:9" s="35" customFormat="1" ht="16.5" customHeight="1">
      <c r="A40" s="38"/>
      <c r="B40" s="34"/>
      <c r="C40" s="34"/>
      <c r="D40" s="34"/>
      <c r="E40" s="34"/>
      <c r="F40" s="34"/>
      <c r="G40" s="34"/>
    </row>
    <row r="41" spans="1:9" s="10" customFormat="1" ht="20.100000000000001" customHeight="1">
      <c r="A41" s="139" t="s">
        <v>402</v>
      </c>
      <c r="B41" s="94"/>
      <c r="F41" s="23" t="s">
        <v>642</v>
      </c>
    </row>
    <row r="42" spans="1:9" s="24" customFormat="1" ht="20.100000000000001" customHeight="1">
      <c r="A42" s="16" t="s">
        <v>388</v>
      </c>
      <c r="C42" s="422" t="s">
        <v>78</v>
      </c>
      <c r="D42" s="422"/>
      <c r="E42" s="10"/>
      <c r="F42" s="423" t="s">
        <v>102</v>
      </c>
      <c r="G42" s="423"/>
    </row>
    <row r="43" spans="1:9" s="34" customFormat="1" ht="29.25" customHeight="1">
      <c r="A43" s="39"/>
      <c r="H43" s="33"/>
      <c r="I43" s="33"/>
    </row>
    <row r="44" spans="1:9" s="34" customFormat="1">
      <c r="A44" s="39"/>
      <c r="H44" s="33"/>
      <c r="I44" s="33"/>
    </row>
    <row r="45" spans="1:9" s="34" customFormat="1">
      <c r="A45" s="39"/>
      <c r="H45" s="33"/>
      <c r="I45" s="33"/>
    </row>
    <row r="46" spans="1:9" s="34" customFormat="1">
      <c r="A46" s="39"/>
      <c r="H46" s="33"/>
      <c r="I46" s="33"/>
    </row>
    <row r="47" spans="1:9" s="34" customFormat="1">
      <c r="A47" s="39"/>
      <c r="H47" s="33"/>
      <c r="I47" s="33"/>
    </row>
    <row r="48" spans="1:9" s="34" customFormat="1">
      <c r="A48" s="39"/>
      <c r="H48" s="33"/>
      <c r="I48" s="33"/>
    </row>
    <row r="49" spans="1:9" s="34" customFormat="1">
      <c r="A49" s="39"/>
      <c r="H49" s="33"/>
      <c r="I49" s="33"/>
    </row>
    <row r="50" spans="1:9" s="34" customFormat="1">
      <c r="A50" s="39"/>
      <c r="H50" s="33"/>
      <c r="I50" s="33"/>
    </row>
    <row r="51" spans="1:9" s="34" customFormat="1">
      <c r="A51" s="39"/>
      <c r="H51" s="33"/>
      <c r="I51" s="33"/>
    </row>
    <row r="52" spans="1:9" s="34" customFormat="1">
      <c r="A52" s="39"/>
      <c r="H52" s="33"/>
      <c r="I52" s="33"/>
    </row>
    <row r="53" spans="1:9" s="34" customFormat="1">
      <c r="A53" s="39"/>
      <c r="H53" s="33"/>
      <c r="I53" s="33"/>
    </row>
    <row r="54" spans="1:9" s="34" customFormat="1">
      <c r="A54" s="39"/>
      <c r="H54" s="33"/>
      <c r="I54" s="33"/>
    </row>
    <row r="55" spans="1:9" s="34" customFormat="1">
      <c r="A55" s="39"/>
      <c r="H55" s="33"/>
      <c r="I55" s="33"/>
    </row>
    <row r="56" spans="1:9" s="34" customFormat="1">
      <c r="A56" s="39"/>
      <c r="H56" s="33"/>
      <c r="I56" s="33"/>
    </row>
    <row r="57" spans="1:9" s="34" customFormat="1">
      <c r="A57" s="39"/>
      <c r="H57" s="33"/>
      <c r="I57" s="33"/>
    </row>
    <row r="58" spans="1:9" s="34" customFormat="1">
      <c r="A58" s="39"/>
      <c r="H58" s="33"/>
      <c r="I58" s="33"/>
    </row>
    <row r="59" spans="1:9" s="34" customFormat="1">
      <c r="A59" s="39"/>
      <c r="H59" s="33"/>
      <c r="I59" s="33"/>
    </row>
    <row r="60" spans="1:9" s="34" customFormat="1">
      <c r="A60" s="39"/>
      <c r="H60" s="33"/>
      <c r="I60" s="33"/>
    </row>
    <row r="61" spans="1:9" s="34" customFormat="1">
      <c r="A61" s="39"/>
      <c r="H61" s="33"/>
      <c r="I61" s="33"/>
    </row>
    <row r="62" spans="1:9" s="34" customFormat="1">
      <c r="A62" s="39"/>
      <c r="H62" s="33"/>
      <c r="I62" s="33"/>
    </row>
    <row r="63" spans="1:9" s="34" customFormat="1">
      <c r="A63" s="39"/>
      <c r="H63" s="33"/>
      <c r="I63" s="33"/>
    </row>
    <row r="64" spans="1:9" s="34" customFormat="1">
      <c r="A64" s="39"/>
      <c r="H64" s="33"/>
      <c r="I64" s="33"/>
    </row>
    <row r="65" spans="1:9" s="34" customFormat="1">
      <c r="A65" s="39"/>
      <c r="H65" s="33"/>
      <c r="I65" s="33"/>
    </row>
    <row r="66" spans="1:9" s="34" customFormat="1">
      <c r="A66" s="39"/>
      <c r="H66" s="33"/>
      <c r="I66" s="33"/>
    </row>
    <row r="67" spans="1:9" s="34" customFormat="1">
      <c r="A67" s="39"/>
      <c r="H67" s="33"/>
      <c r="I67" s="33"/>
    </row>
    <row r="68" spans="1:9" s="34" customFormat="1">
      <c r="A68" s="39"/>
      <c r="H68" s="33"/>
      <c r="I68" s="33"/>
    </row>
    <row r="69" spans="1:9" s="34" customFormat="1">
      <c r="A69" s="39"/>
      <c r="H69" s="33"/>
      <c r="I69" s="33"/>
    </row>
    <row r="70" spans="1:9" s="34" customFormat="1">
      <c r="A70" s="39"/>
      <c r="H70" s="33"/>
      <c r="I70" s="33"/>
    </row>
    <row r="71" spans="1:9" s="34" customFormat="1">
      <c r="A71" s="39"/>
      <c r="H71" s="33"/>
      <c r="I71" s="33"/>
    </row>
    <row r="72" spans="1:9" s="34" customFormat="1">
      <c r="A72" s="39"/>
      <c r="H72" s="33"/>
      <c r="I72" s="33"/>
    </row>
    <row r="73" spans="1:9" s="34" customFormat="1">
      <c r="A73" s="39"/>
      <c r="H73" s="33"/>
      <c r="I73" s="33"/>
    </row>
    <row r="74" spans="1:9" s="34" customFormat="1">
      <c r="A74" s="39"/>
      <c r="H74" s="33"/>
      <c r="I74" s="33"/>
    </row>
    <row r="75" spans="1:9" s="34" customFormat="1">
      <c r="A75" s="39"/>
      <c r="H75" s="33"/>
      <c r="I75" s="33"/>
    </row>
    <row r="76" spans="1:9" s="34" customFormat="1">
      <c r="A76" s="39"/>
      <c r="H76" s="33"/>
      <c r="I76" s="33"/>
    </row>
    <row r="77" spans="1:9" s="34" customFormat="1">
      <c r="A77" s="39"/>
      <c r="H77" s="33"/>
      <c r="I77" s="33"/>
    </row>
    <row r="78" spans="1:9" s="34" customFormat="1">
      <c r="A78" s="39"/>
      <c r="H78" s="33"/>
      <c r="I78" s="33"/>
    </row>
    <row r="79" spans="1:9" s="34" customFormat="1">
      <c r="A79" s="39"/>
      <c r="H79" s="33"/>
      <c r="I79" s="33"/>
    </row>
    <row r="80" spans="1:9" s="34" customFormat="1">
      <c r="A80" s="39"/>
      <c r="H80" s="33"/>
      <c r="I80" s="33"/>
    </row>
    <row r="81" spans="1:9" s="34" customFormat="1">
      <c r="A81" s="39"/>
      <c r="H81" s="33"/>
      <c r="I81" s="33"/>
    </row>
    <row r="82" spans="1:9" s="34" customFormat="1">
      <c r="A82" s="39"/>
      <c r="H82" s="33"/>
      <c r="I82" s="33"/>
    </row>
    <row r="83" spans="1:9" s="34" customFormat="1">
      <c r="A83" s="39"/>
      <c r="H83" s="33"/>
      <c r="I83" s="33"/>
    </row>
    <row r="84" spans="1:9" s="34" customFormat="1">
      <c r="A84" s="39"/>
      <c r="H84" s="33"/>
      <c r="I84" s="33"/>
    </row>
    <row r="85" spans="1:9" s="34" customFormat="1">
      <c r="A85" s="39"/>
      <c r="H85" s="33"/>
      <c r="I85" s="33"/>
    </row>
    <row r="86" spans="1:9" s="34" customFormat="1">
      <c r="A86" s="39"/>
      <c r="H86" s="33"/>
      <c r="I86" s="33"/>
    </row>
    <row r="87" spans="1:9" s="34" customFormat="1">
      <c r="A87" s="39"/>
      <c r="H87" s="33"/>
      <c r="I87" s="33"/>
    </row>
    <row r="88" spans="1:9" s="34" customFormat="1">
      <c r="A88" s="39"/>
      <c r="H88" s="33"/>
      <c r="I88" s="33"/>
    </row>
    <row r="89" spans="1:9" s="34" customFormat="1">
      <c r="A89" s="39"/>
      <c r="H89" s="33"/>
      <c r="I89" s="33"/>
    </row>
    <row r="90" spans="1:9" s="34" customFormat="1">
      <c r="A90" s="39"/>
      <c r="H90" s="33"/>
      <c r="I90" s="33"/>
    </row>
    <row r="91" spans="1:9" s="34" customFormat="1">
      <c r="A91" s="39"/>
      <c r="H91" s="33"/>
      <c r="I91" s="33"/>
    </row>
    <row r="92" spans="1:9" s="34" customFormat="1">
      <c r="A92" s="39"/>
      <c r="H92" s="33"/>
      <c r="I92" s="33"/>
    </row>
    <row r="93" spans="1:9" s="34" customFormat="1">
      <c r="A93" s="39"/>
      <c r="H93" s="33"/>
      <c r="I93" s="33"/>
    </row>
    <row r="94" spans="1:9" s="34" customFormat="1">
      <c r="A94" s="39"/>
      <c r="H94" s="33"/>
      <c r="I94" s="33"/>
    </row>
    <row r="95" spans="1:9" s="34" customFormat="1">
      <c r="A95" s="39"/>
      <c r="H95" s="33"/>
      <c r="I95" s="33"/>
    </row>
    <row r="96" spans="1:9" s="34" customFormat="1">
      <c r="A96" s="39"/>
      <c r="H96" s="33"/>
      <c r="I96" s="33"/>
    </row>
    <row r="97" spans="1:9" s="34" customFormat="1">
      <c r="A97" s="39"/>
      <c r="H97" s="33"/>
      <c r="I97" s="33"/>
    </row>
    <row r="98" spans="1:9" s="34" customFormat="1">
      <c r="A98" s="39"/>
      <c r="H98" s="33"/>
      <c r="I98" s="33"/>
    </row>
    <row r="99" spans="1:9" s="34" customFormat="1">
      <c r="A99" s="39"/>
      <c r="H99" s="33"/>
      <c r="I99" s="33"/>
    </row>
    <row r="100" spans="1:9" s="34" customFormat="1">
      <c r="A100" s="39"/>
      <c r="H100" s="33"/>
      <c r="I100" s="33"/>
    </row>
    <row r="101" spans="1:9" s="34" customFormat="1">
      <c r="A101" s="39"/>
      <c r="H101" s="33"/>
      <c r="I101" s="33"/>
    </row>
    <row r="102" spans="1:9" s="34" customFormat="1">
      <c r="A102" s="39"/>
      <c r="H102" s="33"/>
      <c r="I102" s="33"/>
    </row>
    <row r="103" spans="1:9" s="34" customFormat="1">
      <c r="A103" s="39"/>
      <c r="H103" s="33"/>
      <c r="I103" s="33"/>
    </row>
    <row r="104" spans="1:9" s="34" customFormat="1">
      <c r="A104" s="39"/>
      <c r="H104" s="33"/>
      <c r="I104" s="33"/>
    </row>
    <row r="105" spans="1:9" s="34" customFormat="1">
      <c r="A105" s="39"/>
      <c r="H105" s="33"/>
      <c r="I105" s="33"/>
    </row>
    <row r="106" spans="1:9" s="34" customFormat="1">
      <c r="A106" s="39"/>
      <c r="H106" s="33"/>
      <c r="I106" s="33"/>
    </row>
    <row r="107" spans="1:9" s="34" customFormat="1">
      <c r="A107" s="39"/>
      <c r="H107" s="33"/>
      <c r="I107" s="33"/>
    </row>
    <row r="108" spans="1:9" s="34" customFormat="1">
      <c r="A108" s="39"/>
      <c r="H108" s="33"/>
      <c r="I108" s="33"/>
    </row>
    <row r="109" spans="1:9" s="34" customFormat="1">
      <c r="A109" s="39"/>
      <c r="H109" s="33"/>
      <c r="I109" s="33"/>
    </row>
    <row r="110" spans="1:9" s="34" customFormat="1">
      <c r="A110" s="39"/>
      <c r="H110" s="33"/>
      <c r="I110" s="33"/>
    </row>
    <row r="111" spans="1:9" s="34" customFormat="1">
      <c r="A111" s="39"/>
      <c r="H111" s="33"/>
      <c r="I111" s="33"/>
    </row>
    <row r="112" spans="1:9" s="34" customFormat="1">
      <c r="A112" s="39"/>
      <c r="H112" s="33"/>
      <c r="I112" s="33"/>
    </row>
    <row r="113" spans="1:9" s="34" customFormat="1">
      <c r="A113" s="39"/>
      <c r="H113" s="33"/>
      <c r="I113" s="33"/>
    </row>
    <row r="114" spans="1:9" s="34" customFormat="1">
      <c r="A114" s="39"/>
      <c r="H114" s="33"/>
      <c r="I114" s="33"/>
    </row>
    <row r="115" spans="1:9" s="34" customFormat="1">
      <c r="A115" s="39"/>
      <c r="H115" s="33"/>
      <c r="I115" s="33"/>
    </row>
    <row r="116" spans="1:9" s="34" customFormat="1">
      <c r="A116" s="39"/>
      <c r="H116" s="33"/>
      <c r="I116" s="33"/>
    </row>
    <row r="117" spans="1:9" s="34" customFormat="1">
      <c r="A117" s="39"/>
      <c r="H117" s="33"/>
      <c r="I117" s="33"/>
    </row>
    <row r="118" spans="1:9" s="34" customFormat="1">
      <c r="A118" s="39"/>
      <c r="H118" s="33"/>
      <c r="I118" s="33"/>
    </row>
    <row r="119" spans="1:9" s="34" customFormat="1">
      <c r="A119" s="39"/>
      <c r="H119" s="33"/>
      <c r="I119" s="33"/>
    </row>
    <row r="120" spans="1:9" s="34" customFormat="1">
      <c r="A120" s="39"/>
      <c r="H120" s="33"/>
      <c r="I120" s="33"/>
    </row>
    <row r="121" spans="1:9" s="34" customFormat="1">
      <c r="A121" s="39"/>
      <c r="H121" s="33"/>
      <c r="I121" s="33"/>
    </row>
    <row r="122" spans="1:9" s="34" customFormat="1">
      <c r="A122" s="39"/>
      <c r="H122" s="33"/>
      <c r="I122" s="33"/>
    </row>
    <row r="123" spans="1:9" s="34" customFormat="1">
      <c r="A123" s="39"/>
      <c r="H123" s="33"/>
      <c r="I123" s="33"/>
    </row>
    <row r="124" spans="1:9" s="34" customFormat="1">
      <c r="A124" s="39"/>
      <c r="H124" s="33"/>
      <c r="I124" s="33"/>
    </row>
    <row r="125" spans="1:9" s="34" customFormat="1">
      <c r="A125" s="39"/>
      <c r="H125" s="33"/>
      <c r="I125" s="33"/>
    </row>
    <row r="126" spans="1:9" s="34" customFormat="1">
      <c r="A126" s="39"/>
      <c r="H126" s="33"/>
      <c r="I126" s="33"/>
    </row>
    <row r="127" spans="1:9" s="34" customFormat="1">
      <c r="A127" s="39"/>
      <c r="H127" s="33"/>
      <c r="I127" s="33"/>
    </row>
    <row r="128" spans="1:9" s="34" customFormat="1">
      <c r="A128" s="39"/>
      <c r="H128" s="33"/>
      <c r="I128" s="33"/>
    </row>
    <row r="129" spans="1:9" s="34" customFormat="1">
      <c r="A129" s="39"/>
      <c r="H129" s="33"/>
      <c r="I129" s="33"/>
    </row>
    <row r="130" spans="1:9" s="34" customFormat="1">
      <c r="A130" s="39"/>
      <c r="H130" s="33"/>
      <c r="I130" s="33"/>
    </row>
    <row r="131" spans="1:9" s="34" customFormat="1">
      <c r="A131" s="39"/>
      <c r="H131" s="33"/>
      <c r="I131" s="33"/>
    </row>
    <row r="132" spans="1:9" s="34" customFormat="1">
      <c r="A132" s="39"/>
      <c r="H132" s="33"/>
      <c r="I132" s="33"/>
    </row>
    <row r="133" spans="1:9" s="34" customFormat="1">
      <c r="A133" s="39"/>
      <c r="H133" s="33"/>
      <c r="I133" s="33"/>
    </row>
    <row r="134" spans="1:9" s="34" customFormat="1">
      <c r="A134" s="39"/>
      <c r="H134" s="33"/>
      <c r="I134" s="33"/>
    </row>
    <row r="135" spans="1:9" s="34" customFormat="1">
      <c r="A135" s="39"/>
      <c r="H135" s="33"/>
      <c r="I135" s="33"/>
    </row>
    <row r="136" spans="1:9" s="34" customFormat="1">
      <c r="A136" s="39"/>
      <c r="H136" s="33"/>
      <c r="I136" s="33"/>
    </row>
    <row r="137" spans="1:9" s="34" customFormat="1">
      <c r="A137" s="39"/>
      <c r="H137" s="33"/>
      <c r="I137" s="33"/>
    </row>
    <row r="138" spans="1:9" s="34" customFormat="1">
      <c r="A138" s="39"/>
      <c r="H138" s="33"/>
      <c r="I138" s="33"/>
    </row>
    <row r="139" spans="1:9" s="34" customFormat="1">
      <c r="A139" s="39"/>
      <c r="H139" s="33"/>
      <c r="I139" s="33"/>
    </row>
    <row r="140" spans="1:9" s="34" customFormat="1">
      <c r="A140" s="39"/>
      <c r="H140" s="33"/>
      <c r="I140" s="33"/>
    </row>
    <row r="141" spans="1:9" s="34" customFormat="1">
      <c r="A141" s="39"/>
      <c r="H141" s="33"/>
      <c r="I141" s="33"/>
    </row>
    <row r="142" spans="1:9" s="34" customFormat="1">
      <c r="A142" s="39"/>
      <c r="H142" s="33"/>
      <c r="I142" s="33"/>
    </row>
    <row r="143" spans="1:9" s="34" customFormat="1">
      <c r="A143" s="39"/>
      <c r="H143" s="33"/>
      <c r="I143" s="33"/>
    </row>
    <row r="144" spans="1:9" s="34" customFormat="1">
      <c r="A144" s="39"/>
      <c r="H144" s="33"/>
      <c r="I144" s="33"/>
    </row>
    <row r="145" spans="1:9" s="34" customFormat="1">
      <c r="A145" s="39"/>
      <c r="H145" s="33"/>
      <c r="I145" s="33"/>
    </row>
    <row r="146" spans="1:9" s="34" customFormat="1">
      <c r="A146" s="39"/>
      <c r="H146" s="33"/>
      <c r="I146" s="33"/>
    </row>
    <row r="147" spans="1:9" s="34" customFormat="1">
      <c r="A147" s="39"/>
      <c r="H147" s="33"/>
      <c r="I147" s="33"/>
    </row>
    <row r="148" spans="1:9" s="34" customFormat="1">
      <c r="A148" s="39"/>
      <c r="H148" s="33"/>
      <c r="I148" s="33"/>
    </row>
    <row r="149" spans="1:9" s="34" customFormat="1">
      <c r="A149" s="39"/>
      <c r="H149" s="33"/>
      <c r="I149" s="33"/>
    </row>
    <row r="150" spans="1:9" s="34" customFormat="1">
      <c r="A150" s="39"/>
      <c r="H150" s="33"/>
      <c r="I150" s="33"/>
    </row>
    <row r="151" spans="1:9" s="34" customFormat="1">
      <c r="A151" s="39"/>
      <c r="H151" s="33"/>
      <c r="I151" s="33"/>
    </row>
    <row r="152" spans="1:9" s="34" customFormat="1">
      <c r="A152" s="39"/>
      <c r="H152" s="33"/>
      <c r="I152" s="33"/>
    </row>
    <row r="153" spans="1:9" s="34" customFormat="1">
      <c r="A153" s="39"/>
      <c r="H153" s="33"/>
      <c r="I153" s="33"/>
    </row>
    <row r="154" spans="1:9" s="34" customFormat="1">
      <c r="A154" s="39"/>
      <c r="H154" s="33"/>
      <c r="I154" s="33"/>
    </row>
    <row r="155" spans="1:9" s="34" customFormat="1">
      <c r="A155" s="39"/>
      <c r="H155" s="33"/>
      <c r="I155" s="33"/>
    </row>
    <row r="156" spans="1:9" s="34" customFormat="1">
      <c r="A156" s="39"/>
      <c r="H156" s="33"/>
      <c r="I156" s="33"/>
    </row>
    <row r="157" spans="1:9" s="34" customFormat="1">
      <c r="A157" s="39"/>
      <c r="H157" s="33"/>
      <c r="I157" s="33"/>
    </row>
    <row r="158" spans="1:9" s="34" customFormat="1">
      <c r="A158" s="39"/>
      <c r="H158" s="33"/>
      <c r="I158" s="33"/>
    </row>
    <row r="159" spans="1:9" s="34" customFormat="1">
      <c r="A159" s="39"/>
      <c r="H159" s="33"/>
      <c r="I159" s="33"/>
    </row>
    <row r="160" spans="1:9" s="34" customFormat="1">
      <c r="A160" s="39"/>
      <c r="H160" s="33"/>
      <c r="I160" s="33"/>
    </row>
    <row r="161" spans="1:9" s="34" customFormat="1">
      <c r="A161" s="39"/>
      <c r="H161" s="33"/>
      <c r="I161" s="33"/>
    </row>
    <row r="162" spans="1:9" s="34" customFormat="1">
      <c r="A162" s="39"/>
      <c r="H162" s="33"/>
      <c r="I162" s="33"/>
    </row>
    <row r="163" spans="1:9" s="34" customFormat="1">
      <c r="A163" s="39"/>
      <c r="H163" s="33"/>
      <c r="I163" s="33"/>
    </row>
    <row r="164" spans="1:9" s="34" customFormat="1">
      <c r="A164" s="39"/>
      <c r="H164" s="33"/>
      <c r="I164" s="33"/>
    </row>
    <row r="165" spans="1:9" s="34" customFormat="1">
      <c r="A165" s="39"/>
      <c r="H165" s="33"/>
      <c r="I165" s="33"/>
    </row>
    <row r="166" spans="1:9" s="34" customFormat="1">
      <c r="A166" s="39"/>
      <c r="H166" s="33"/>
      <c r="I166" s="33"/>
    </row>
    <row r="167" spans="1:9" s="34" customFormat="1">
      <c r="A167" s="39"/>
      <c r="H167" s="33"/>
      <c r="I167" s="33"/>
    </row>
    <row r="168" spans="1:9" s="34" customFormat="1">
      <c r="A168" s="39"/>
      <c r="H168" s="33"/>
      <c r="I168" s="33"/>
    </row>
    <row r="169" spans="1:9" s="34" customFormat="1">
      <c r="A169" s="39"/>
      <c r="H169" s="33"/>
      <c r="I169" s="33"/>
    </row>
    <row r="170" spans="1:9" s="34" customFormat="1">
      <c r="A170" s="39"/>
      <c r="H170" s="33"/>
      <c r="I170" s="33"/>
    </row>
    <row r="171" spans="1:9" s="34" customFormat="1">
      <c r="A171" s="39"/>
      <c r="H171" s="33"/>
      <c r="I171" s="33"/>
    </row>
    <row r="172" spans="1:9" s="34" customFormat="1">
      <c r="A172" s="39"/>
      <c r="H172" s="33"/>
      <c r="I172" s="33"/>
    </row>
    <row r="173" spans="1:9" s="34" customFormat="1">
      <c r="A173" s="39"/>
      <c r="H173" s="33"/>
      <c r="I173" s="33"/>
    </row>
    <row r="174" spans="1:9" s="34" customFormat="1">
      <c r="A174" s="39"/>
      <c r="H174" s="33"/>
      <c r="I174" s="33"/>
    </row>
    <row r="175" spans="1:9" s="34" customFormat="1">
      <c r="A175" s="39"/>
      <c r="H175" s="33"/>
      <c r="I175" s="33"/>
    </row>
    <row r="176" spans="1:9" s="34" customFormat="1">
      <c r="A176" s="39"/>
      <c r="H176" s="33"/>
      <c r="I176" s="33"/>
    </row>
    <row r="177" spans="1:9" s="34" customFormat="1">
      <c r="A177" s="39"/>
      <c r="H177" s="33"/>
      <c r="I177" s="33"/>
    </row>
    <row r="178" spans="1:9" s="34" customFormat="1">
      <c r="A178" s="39"/>
      <c r="H178" s="33"/>
      <c r="I178" s="33"/>
    </row>
    <row r="179" spans="1:9" s="34" customFormat="1">
      <c r="A179" s="39"/>
      <c r="H179" s="33"/>
      <c r="I179" s="33"/>
    </row>
    <row r="180" spans="1:9" s="34" customFormat="1">
      <c r="A180" s="39"/>
      <c r="H180" s="33"/>
      <c r="I180" s="33"/>
    </row>
    <row r="181" spans="1:9" s="34" customFormat="1">
      <c r="A181" s="39"/>
      <c r="H181" s="33"/>
      <c r="I181" s="33"/>
    </row>
    <row r="182" spans="1:9" s="34" customFormat="1">
      <c r="A182" s="39"/>
      <c r="H182" s="33"/>
      <c r="I182" s="33"/>
    </row>
    <row r="183" spans="1:9" s="34" customFormat="1">
      <c r="A183" s="39"/>
      <c r="H183" s="33"/>
      <c r="I183" s="33"/>
    </row>
    <row r="184" spans="1:9" s="34" customFormat="1">
      <c r="A184" s="39"/>
      <c r="H184" s="33"/>
      <c r="I184" s="33"/>
    </row>
    <row r="185" spans="1:9" s="34" customFormat="1">
      <c r="A185" s="39"/>
      <c r="H185" s="33"/>
      <c r="I185" s="33"/>
    </row>
    <row r="186" spans="1:9" s="34" customFormat="1">
      <c r="A186" s="39"/>
      <c r="H186" s="33"/>
      <c r="I186" s="33"/>
    </row>
    <row r="187" spans="1:9" s="34" customFormat="1">
      <c r="A187" s="39"/>
      <c r="H187" s="33"/>
      <c r="I187" s="33"/>
    </row>
    <row r="188" spans="1:9" s="34" customFormat="1">
      <c r="A188" s="39"/>
      <c r="H188" s="33"/>
      <c r="I188" s="33"/>
    </row>
  </sheetData>
  <mergeCells count="9">
    <mergeCell ref="C42:D42"/>
    <mergeCell ref="F42:G42"/>
    <mergeCell ref="A7:G7"/>
    <mergeCell ref="A20:G20"/>
    <mergeCell ref="A3:G3"/>
    <mergeCell ref="A4:A5"/>
    <mergeCell ref="B4:B5"/>
    <mergeCell ref="D4:G4"/>
    <mergeCell ref="C4:C5"/>
  </mergeCells>
  <phoneticPr fontId="3" type="noConversion"/>
  <pageMargins left="0.78740157480314965" right="0.39370078740157483" top="0.59055118110236227" bottom="0.51181102362204722" header="0.19685039370078741" footer="0.11811023622047245"/>
  <pageSetup paperSize="9" scale="56" orientation="portrait" verticalDpi="300" r:id="rId1"/>
  <headerFooter alignWithMargins="0"/>
  <drawing r:id="rId2"/>
</worksheet>
</file>

<file path=xl/worksheets/sheet4.xml><?xml version="1.0" encoding="utf-8"?>
<worksheet xmlns="http://schemas.openxmlformats.org/spreadsheetml/2006/main" xmlns:r="http://schemas.openxmlformats.org/officeDocument/2006/relationships">
  <sheetPr>
    <tabColor rgb="FFFFFF00"/>
    <pageSetUpPr fitToPage="1"/>
  </sheetPr>
  <dimension ref="A1:G120"/>
  <sheetViews>
    <sheetView topLeftCell="A3" zoomScaleNormal="100" zoomScaleSheetLayoutView="100" workbookViewId="0">
      <pane xSplit="1" ySplit="4" topLeftCell="B91" activePane="bottomRight" state="frozen"/>
      <selection activeCell="A3" sqref="A3"/>
      <selection pane="topRight" activeCell="B3" sqref="B3"/>
      <selection pane="bottomLeft" activeCell="A7" sqref="A7"/>
      <selection pane="bottomRight" activeCell="C116" sqref="C116"/>
    </sheetView>
  </sheetViews>
  <sheetFormatPr defaultRowHeight="18.75" outlineLevelRow="1"/>
  <cols>
    <col min="1" max="1" width="60.140625" style="252" customWidth="1"/>
    <col min="2" max="2" width="12" style="252" customWidth="1"/>
    <col min="3" max="3" width="18.85546875" style="252" customWidth="1"/>
    <col min="4" max="4" width="11" style="252" customWidth="1"/>
    <col min="5" max="5" width="11.5703125" style="252" customWidth="1"/>
    <col min="6" max="6" width="16" style="252" customWidth="1"/>
    <col min="7" max="7" width="15.85546875" style="252" customWidth="1"/>
    <col min="8" max="16384" width="9.140625" style="1"/>
  </cols>
  <sheetData>
    <row r="1" spans="1:7" hidden="1" outlineLevel="1">
      <c r="G1" s="253" t="s">
        <v>240</v>
      </c>
    </row>
    <row r="2" spans="1:7" hidden="1" outlineLevel="1">
      <c r="G2" s="253" t="s">
        <v>226</v>
      </c>
    </row>
    <row r="3" spans="1:7" collapsed="1">
      <c r="A3" s="437" t="s">
        <v>377</v>
      </c>
      <c r="B3" s="437"/>
      <c r="C3" s="437"/>
      <c r="D3" s="437"/>
      <c r="E3" s="437"/>
      <c r="F3" s="437"/>
      <c r="G3" s="437"/>
    </row>
    <row r="4" spans="1:7">
      <c r="A4" s="254"/>
      <c r="B4" s="254"/>
      <c r="C4" s="254"/>
      <c r="D4" s="254"/>
      <c r="E4" s="254"/>
      <c r="F4" s="254"/>
      <c r="G4" s="254"/>
    </row>
    <row r="5" spans="1:7" ht="39" customHeight="1">
      <c r="A5" s="438" t="s">
        <v>286</v>
      </c>
      <c r="B5" s="439" t="s">
        <v>0</v>
      </c>
      <c r="C5" s="441" t="s">
        <v>357</v>
      </c>
      <c r="D5" s="440" t="s">
        <v>355</v>
      </c>
      <c r="E5" s="440"/>
      <c r="F5" s="440"/>
      <c r="G5" s="440"/>
    </row>
    <row r="6" spans="1:7" ht="38.25" customHeight="1">
      <c r="A6" s="438"/>
      <c r="B6" s="439"/>
      <c r="C6" s="442"/>
      <c r="D6" s="356" t="s">
        <v>264</v>
      </c>
      <c r="E6" s="338" t="s">
        <v>247</v>
      </c>
      <c r="F6" s="256" t="s">
        <v>274</v>
      </c>
      <c r="G6" s="256" t="s">
        <v>275</v>
      </c>
    </row>
    <row r="7" spans="1:7">
      <c r="A7" s="255">
        <v>1</v>
      </c>
      <c r="B7" s="257">
        <v>2</v>
      </c>
      <c r="C7" s="255">
        <v>3</v>
      </c>
      <c r="D7" s="287">
        <v>4</v>
      </c>
      <c r="E7" s="288">
        <v>5</v>
      </c>
      <c r="F7" s="255">
        <v>6</v>
      </c>
      <c r="G7" s="257">
        <v>7</v>
      </c>
    </row>
    <row r="8" spans="1:7" s="6" customFormat="1">
      <c r="A8" s="432" t="s">
        <v>158</v>
      </c>
      <c r="B8" s="433"/>
      <c r="C8" s="433"/>
      <c r="D8" s="433"/>
      <c r="E8" s="433"/>
      <c r="F8" s="433"/>
      <c r="G8" s="434"/>
    </row>
    <row r="9" spans="1:7" ht="37.5">
      <c r="A9" s="258" t="s">
        <v>177</v>
      </c>
      <c r="B9" s="259">
        <v>1170</v>
      </c>
      <c r="C9" s="162">
        <f>'1. Фін результат'!C117</f>
        <v>-22355</v>
      </c>
      <c r="D9" s="162">
        <f>'1. Фін результат'!D117</f>
        <v>-25146</v>
      </c>
      <c r="E9" s="162">
        <f>'1. Фін результат'!E117</f>
        <v>-25964</v>
      </c>
      <c r="F9" s="230">
        <f>E9-D9</f>
        <v>-818</v>
      </c>
      <c r="G9" s="260">
        <f>E9*100/D9</f>
        <v>103.25300246560089</v>
      </c>
    </row>
    <row r="10" spans="1:7">
      <c r="A10" s="258" t="s">
        <v>178</v>
      </c>
      <c r="B10" s="261"/>
      <c r="C10" s="262"/>
      <c r="D10" s="262"/>
      <c r="E10" s="262"/>
      <c r="F10" s="230"/>
      <c r="G10" s="260"/>
    </row>
    <row r="11" spans="1:7">
      <c r="A11" s="258" t="s">
        <v>181</v>
      </c>
      <c r="B11" s="263">
        <v>3000</v>
      </c>
      <c r="C11" s="262">
        <f>'1. Фін результат'!C143</f>
        <v>4045</v>
      </c>
      <c r="D11" s="262">
        <f>'1. Фін результат'!D143</f>
        <v>4251</v>
      </c>
      <c r="E11" s="262">
        <f>'1. Фін результат'!E143</f>
        <v>4928</v>
      </c>
      <c r="F11" s="230">
        <f t="shared" ref="F11:F17" si="0">E11-D11</f>
        <v>677</v>
      </c>
      <c r="G11" s="260">
        <f>E11*100/D11</f>
        <v>115.92566454951776</v>
      </c>
    </row>
    <row r="12" spans="1:7">
      <c r="A12" s="258" t="s">
        <v>182</v>
      </c>
      <c r="B12" s="263">
        <v>3010</v>
      </c>
      <c r="C12" s="262"/>
      <c r="D12" s="262"/>
      <c r="E12" s="262"/>
      <c r="F12" s="230"/>
      <c r="G12" s="260"/>
    </row>
    <row r="13" spans="1:7" ht="37.5">
      <c r="A13" s="258" t="s">
        <v>183</v>
      </c>
      <c r="B13" s="263">
        <v>3020</v>
      </c>
      <c r="C13" s="262"/>
      <c r="D13" s="262"/>
      <c r="E13" s="262"/>
      <c r="F13" s="230"/>
      <c r="G13" s="265"/>
    </row>
    <row r="14" spans="1:7" ht="37.5">
      <c r="A14" s="258" t="s">
        <v>184</v>
      </c>
      <c r="B14" s="263">
        <v>3030</v>
      </c>
      <c r="C14" s="262">
        <f>SUM(C15:C17)</f>
        <v>341</v>
      </c>
      <c r="D14" s="262">
        <f>SUM(D15:D17)</f>
        <v>-9</v>
      </c>
      <c r="E14" s="262">
        <f>SUM(E15:E17)</f>
        <v>-10002</v>
      </c>
      <c r="F14" s="230">
        <f t="shared" si="0"/>
        <v>-9993</v>
      </c>
      <c r="G14" s="265">
        <f>E14*100/D14</f>
        <v>111133.33333333333</v>
      </c>
    </row>
    <row r="15" spans="1:7">
      <c r="A15" s="284" t="s">
        <v>568</v>
      </c>
      <c r="B15" s="161" t="s">
        <v>520</v>
      </c>
      <c r="C15" s="174">
        <v>-32</v>
      </c>
      <c r="D15" s="174">
        <v>-9</v>
      </c>
      <c r="E15" s="174">
        <v>-10022</v>
      </c>
      <c r="F15" s="174">
        <f t="shared" si="0"/>
        <v>-10013</v>
      </c>
      <c r="G15" s="268">
        <f>E15*100/D15</f>
        <v>111355.55555555556</v>
      </c>
    </row>
    <row r="16" spans="1:7">
      <c r="A16" s="284" t="s">
        <v>603</v>
      </c>
      <c r="B16" s="161" t="s">
        <v>553</v>
      </c>
      <c r="C16" s="174"/>
      <c r="D16" s="174"/>
      <c r="E16" s="174">
        <v>20</v>
      </c>
      <c r="F16" s="174">
        <f t="shared" si="0"/>
        <v>20</v>
      </c>
      <c r="G16" s="268">
        <f>E16*100</f>
        <v>2000</v>
      </c>
    </row>
    <row r="17" spans="1:7" ht="38.25">
      <c r="A17" s="284" t="s">
        <v>591</v>
      </c>
      <c r="B17" s="161" t="s">
        <v>637</v>
      </c>
      <c r="C17" s="174">
        <v>373</v>
      </c>
      <c r="D17" s="174"/>
      <c r="E17" s="174"/>
      <c r="F17" s="174">
        <f t="shared" si="0"/>
        <v>0</v>
      </c>
      <c r="G17" s="268">
        <f t="shared" ref="G17" si="1">E17*100</f>
        <v>0</v>
      </c>
    </row>
    <row r="18" spans="1:7" ht="38.25" customHeight="1">
      <c r="A18" s="269" t="s">
        <v>255</v>
      </c>
      <c r="B18" s="263">
        <v>3040</v>
      </c>
      <c r="C18" s="262">
        <f>C9+C11+C12+C14</f>
        <v>-17969</v>
      </c>
      <c r="D18" s="262">
        <f>D9+D11+D12+D14</f>
        <v>-20904</v>
      </c>
      <c r="E18" s="262">
        <f>E9+E11+E14+E12</f>
        <v>-31038</v>
      </c>
      <c r="F18" s="264">
        <f>E18-D18</f>
        <v>-10134</v>
      </c>
      <c r="G18" s="265">
        <f>E18*100/D18</f>
        <v>148.47876004592422</v>
      </c>
    </row>
    <row r="19" spans="1:7" ht="37.5">
      <c r="A19" s="258" t="s">
        <v>185</v>
      </c>
      <c r="B19" s="263">
        <v>3050</v>
      </c>
      <c r="C19" s="262">
        <f>SUM(C20:C22)</f>
        <v>-1410</v>
      </c>
      <c r="D19" s="262">
        <f t="shared" ref="D19:E19" si="2">SUM(D20:D22)</f>
        <v>0</v>
      </c>
      <c r="E19" s="262">
        <f t="shared" si="2"/>
        <v>-2705</v>
      </c>
      <c r="F19" s="264">
        <f>E19-D19</f>
        <v>-2705</v>
      </c>
      <c r="G19" s="265">
        <f t="shared" ref="G19:G22" si="3">E19*100</f>
        <v>-270500</v>
      </c>
    </row>
    <row r="20" spans="1:7" s="173" customFormat="1">
      <c r="A20" s="266" t="s">
        <v>521</v>
      </c>
      <c r="B20" s="161" t="s">
        <v>524</v>
      </c>
      <c r="C20" s="174">
        <v>-442</v>
      </c>
      <c r="D20" s="174"/>
      <c r="E20" s="174">
        <v>-415</v>
      </c>
      <c r="F20" s="267">
        <f>E20-D20</f>
        <v>-415</v>
      </c>
      <c r="G20" s="268">
        <f t="shared" si="3"/>
        <v>-41500</v>
      </c>
    </row>
    <row r="21" spans="1:7" s="173" customFormat="1">
      <c r="A21" s="266" t="s">
        <v>522</v>
      </c>
      <c r="B21" s="161" t="s">
        <v>525</v>
      </c>
      <c r="C21" s="174"/>
      <c r="D21" s="174"/>
      <c r="E21" s="174">
        <v>-2</v>
      </c>
      <c r="F21" s="267">
        <f t="shared" ref="F21:F22" si="4">E21-D21</f>
        <v>-2</v>
      </c>
      <c r="G21" s="268">
        <f t="shared" si="3"/>
        <v>-200</v>
      </c>
    </row>
    <row r="22" spans="1:7" s="173" customFormat="1">
      <c r="A22" s="266" t="s">
        <v>523</v>
      </c>
      <c r="B22" s="161" t="s">
        <v>526</v>
      </c>
      <c r="C22" s="174">
        <v>-968</v>
      </c>
      <c r="D22" s="174"/>
      <c r="E22" s="174">
        <v>-2288</v>
      </c>
      <c r="F22" s="267">
        <f t="shared" si="4"/>
        <v>-2288</v>
      </c>
      <c r="G22" s="268">
        <f t="shared" si="3"/>
        <v>-228800</v>
      </c>
    </row>
    <row r="23" spans="1:7" ht="37.5">
      <c r="A23" s="258" t="s">
        <v>186</v>
      </c>
      <c r="B23" s="263">
        <v>3060</v>
      </c>
      <c r="C23" s="262">
        <f>SUM(C24:C26)</f>
        <v>-97</v>
      </c>
      <c r="D23" s="262">
        <f>SUM(D24:D26)</f>
        <v>-369</v>
      </c>
      <c r="E23" s="262">
        <f>SUM(E24:E26)</f>
        <v>80</v>
      </c>
      <c r="F23" s="264">
        <f>E23-D23</f>
        <v>449</v>
      </c>
      <c r="G23" s="265">
        <f>E23*100</f>
        <v>8000</v>
      </c>
    </row>
    <row r="24" spans="1:7" s="173" customFormat="1">
      <c r="A24" s="266" t="s">
        <v>527</v>
      </c>
      <c r="B24" s="161" t="s">
        <v>528</v>
      </c>
      <c r="C24" s="174">
        <v>312</v>
      </c>
      <c r="D24" s="174"/>
      <c r="E24" s="174">
        <v>80</v>
      </c>
      <c r="F24" s="267">
        <f>E24-D24</f>
        <v>80</v>
      </c>
      <c r="G24" s="268">
        <f t="shared" ref="G24:G26" si="5">E24*100</f>
        <v>8000</v>
      </c>
    </row>
    <row r="25" spans="1:7" s="173" customFormat="1">
      <c r="A25" s="266" t="s">
        <v>694</v>
      </c>
      <c r="B25" s="161" t="s">
        <v>540</v>
      </c>
      <c r="C25" s="174"/>
      <c r="D25" s="174"/>
      <c r="E25" s="174"/>
      <c r="F25" s="267">
        <f>E25-D25</f>
        <v>0</v>
      </c>
      <c r="G25" s="268">
        <f t="shared" si="5"/>
        <v>0</v>
      </c>
    </row>
    <row r="26" spans="1:7" s="173" customFormat="1" ht="51">
      <c r="A26" s="284" t="s">
        <v>536</v>
      </c>
      <c r="B26" s="161" t="s">
        <v>695</v>
      </c>
      <c r="C26" s="174">
        <v>-409</v>
      </c>
      <c r="D26" s="174">
        <v>-369</v>
      </c>
      <c r="E26" s="174"/>
      <c r="F26" s="267">
        <f>E26-D26</f>
        <v>369</v>
      </c>
      <c r="G26" s="268">
        <f t="shared" si="5"/>
        <v>0</v>
      </c>
    </row>
    <row r="27" spans="1:7">
      <c r="A27" s="269" t="s">
        <v>179</v>
      </c>
      <c r="B27" s="263">
        <v>3070</v>
      </c>
      <c r="C27" s="262">
        <f>C18+C19+C23</f>
        <v>-19476</v>
      </c>
      <c r="D27" s="262">
        <f>D18+D19+D23</f>
        <v>-21273</v>
      </c>
      <c r="E27" s="262">
        <f>E18+E19+E23</f>
        <v>-33663</v>
      </c>
      <c r="F27" s="264">
        <f>E27-D27</f>
        <v>-12390</v>
      </c>
      <c r="G27" s="265">
        <f>E27*100/D27</f>
        <v>158.24284304047384</v>
      </c>
    </row>
    <row r="28" spans="1:7">
      <c r="A28" s="258" t="s">
        <v>180</v>
      </c>
      <c r="B28" s="263">
        <v>3080</v>
      </c>
      <c r="C28" s="262"/>
      <c r="D28" s="262"/>
      <c r="E28" s="262"/>
      <c r="F28" s="264"/>
      <c r="G28" s="265"/>
    </row>
    <row r="29" spans="1:7" ht="37.5">
      <c r="A29" s="270" t="s">
        <v>157</v>
      </c>
      <c r="B29" s="263">
        <v>3090</v>
      </c>
      <c r="C29" s="262">
        <f>C27-C28</f>
        <v>-19476</v>
      </c>
      <c r="D29" s="262">
        <f>D27-D28</f>
        <v>-21273</v>
      </c>
      <c r="E29" s="262">
        <f>E27-E28</f>
        <v>-33663</v>
      </c>
      <c r="F29" s="264">
        <f>E29-D29</f>
        <v>-12390</v>
      </c>
      <c r="G29" s="265">
        <f>E29*100/D29</f>
        <v>158.24284304047384</v>
      </c>
    </row>
    <row r="30" spans="1:7">
      <c r="A30" s="432" t="s">
        <v>159</v>
      </c>
      <c r="B30" s="433"/>
      <c r="C30" s="433"/>
      <c r="D30" s="433"/>
      <c r="E30" s="433"/>
      <c r="F30" s="433"/>
      <c r="G30" s="434"/>
    </row>
    <row r="31" spans="1:7">
      <c r="A31" s="269" t="s">
        <v>287</v>
      </c>
      <c r="B31" s="259"/>
      <c r="C31" s="162"/>
      <c r="D31" s="162"/>
      <c r="E31" s="162"/>
      <c r="F31" s="230"/>
      <c r="G31" s="260"/>
    </row>
    <row r="32" spans="1:7">
      <c r="A32" s="271" t="s">
        <v>32</v>
      </c>
      <c r="B32" s="259">
        <v>3200</v>
      </c>
      <c r="C32" s="162"/>
      <c r="D32" s="162"/>
      <c r="E32" s="162"/>
      <c r="F32" s="230"/>
      <c r="G32" s="260"/>
    </row>
    <row r="33" spans="1:7">
      <c r="A33" s="271" t="s">
        <v>33</v>
      </c>
      <c r="B33" s="259">
        <v>3210</v>
      </c>
      <c r="C33" s="162"/>
      <c r="D33" s="162"/>
      <c r="E33" s="162"/>
      <c r="F33" s="230"/>
      <c r="G33" s="260"/>
    </row>
    <row r="34" spans="1:7">
      <c r="A34" s="271" t="s">
        <v>53</v>
      </c>
      <c r="B34" s="259">
        <v>3220</v>
      </c>
      <c r="C34" s="162"/>
      <c r="D34" s="162"/>
      <c r="E34" s="162"/>
      <c r="F34" s="230"/>
      <c r="G34" s="260"/>
    </row>
    <row r="35" spans="1:7">
      <c r="A35" s="258" t="s">
        <v>163</v>
      </c>
      <c r="B35" s="259"/>
      <c r="C35" s="162"/>
      <c r="D35" s="162"/>
      <c r="E35" s="162"/>
      <c r="F35" s="230"/>
      <c r="G35" s="260"/>
    </row>
    <row r="36" spans="1:7">
      <c r="A36" s="271" t="s">
        <v>164</v>
      </c>
      <c r="B36" s="259">
        <v>3230</v>
      </c>
      <c r="C36" s="162"/>
      <c r="D36" s="162"/>
      <c r="E36" s="162"/>
      <c r="F36" s="230"/>
      <c r="G36" s="260"/>
    </row>
    <row r="37" spans="1:7">
      <c r="A37" s="271" t="s">
        <v>165</v>
      </c>
      <c r="B37" s="259">
        <v>3240</v>
      </c>
      <c r="C37" s="162"/>
      <c r="D37" s="162"/>
      <c r="E37" s="162"/>
      <c r="F37" s="230"/>
      <c r="G37" s="260"/>
    </row>
    <row r="38" spans="1:7">
      <c r="A38" s="258" t="s">
        <v>166</v>
      </c>
      <c r="B38" s="259">
        <v>3250</v>
      </c>
      <c r="C38" s="162"/>
      <c r="D38" s="162"/>
      <c r="E38" s="162"/>
      <c r="F38" s="230"/>
      <c r="G38" s="260"/>
    </row>
    <row r="39" spans="1:7">
      <c r="A39" s="271" t="s">
        <v>118</v>
      </c>
      <c r="B39" s="259">
        <v>3260</v>
      </c>
      <c r="C39" s="162">
        <f>C40</f>
        <v>0</v>
      </c>
      <c r="D39" s="162"/>
      <c r="E39" s="162"/>
      <c r="F39" s="230"/>
      <c r="G39" s="260"/>
    </row>
    <row r="40" spans="1:7">
      <c r="A40" s="310"/>
      <c r="B40" s="161" t="s">
        <v>638</v>
      </c>
      <c r="C40" s="163"/>
      <c r="D40" s="312"/>
      <c r="E40" s="163"/>
      <c r="F40" s="172"/>
      <c r="G40" s="164"/>
    </row>
    <row r="41" spans="1:7">
      <c r="A41" s="269" t="s">
        <v>288</v>
      </c>
      <c r="B41" s="259"/>
      <c r="C41" s="162"/>
      <c r="D41" s="162"/>
      <c r="E41" s="162"/>
      <c r="F41" s="230"/>
      <c r="G41" s="260"/>
    </row>
    <row r="42" spans="1:7" ht="37.5">
      <c r="A42" s="271" t="s">
        <v>119</v>
      </c>
      <c r="B42" s="259">
        <v>3270</v>
      </c>
      <c r="C42" s="262">
        <f>SUM(C43:C57)</f>
        <v>6829</v>
      </c>
      <c r="D42" s="262">
        <f>SUM(D43:D57)</f>
        <v>4713</v>
      </c>
      <c r="E42" s="262">
        <f>SUM(E43:E57)</f>
        <v>5872</v>
      </c>
      <c r="F42" s="230">
        <f>E42-D42</f>
        <v>1159</v>
      </c>
      <c r="G42" s="260">
        <f>E42*100/D42</f>
        <v>124.59155527265011</v>
      </c>
    </row>
    <row r="43" spans="1:7" s="252" customFormat="1">
      <c r="A43" s="310" t="s">
        <v>633</v>
      </c>
      <c r="B43" s="161" t="s">
        <v>473</v>
      </c>
      <c r="C43" s="163">
        <v>639</v>
      </c>
      <c r="D43" s="289"/>
      <c r="E43" s="163">
        <f>88+87</f>
        <v>175</v>
      </c>
      <c r="F43" s="172">
        <f t="shared" ref="F43" si="6">D43-E43</f>
        <v>-175</v>
      </c>
      <c r="G43" s="164">
        <f>E43*100</f>
        <v>17500</v>
      </c>
    </row>
    <row r="44" spans="1:7" s="252" customFormat="1">
      <c r="A44" s="310" t="s">
        <v>597</v>
      </c>
      <c r="B44" s="161" t="s">
        <v>474</v>
      </c>
      <c r="C44" s="163">
        <v>326</v>
      </c>
      <c r="D44" s="312"/>
      <c r="E44" s="163"/>
      <c r="F44" s="172"/>
      <c r="G44" s="164"/>
    </row>
    <row r="45" spans="1:7" s="252" customFormat="1">
      <c r="A45" s="310" t="s">
        <v>608</v>
      </c>
      <c r="B45" s="161" t="s">
        <v>475</v>
      </c>
      <c r="C45" s="163">
        <v>545</v>
      </c>
      <c r="D45" s="312"/>
      <c r="E45" s="163"/>
      <c r="F45" s="172"/>
      <c r="G45" s="164"/>
    </row>
    <row r="46" spans="1:7" s="252" customFormat="1">
      <c r="A46" s="310" t="s">
        <v>589</v>
      </c>
      <c r="B46" s="161" t="s">
        <v>483</v>
      </c>
      <c r="C46" s="163">
        <v>34</v>
      </c>
      <c r="D46" s="289">
        <v>272</v>
      </c>
      <c r="E46" s="163"/>
      <c r="F46" s="172">
        <f t="shared" ref="F46:F47" si="7">E46-D46</f>
        <v>-272</v>
      </c>
      <c r="G46" s="164">
        <f>E46*100/D46</f>
        <v>0</v>
      </c>
    </row>
    <row r="47" spans="1:7" s="252" customFormat="1">
      <c r="A47" s="310" t="s">
        <v>671</v>
      </c>
      <c r="B47" s="161" t="s">
        <v>484</v>
      </c>
      <c r="C47" s="163"/>
      <c r="D47" s="289"/>
      <c r="E47" s="163">
        <v>44</v>
      </c>
      <c r="F47" s="172">
        <f t="shared" si="7"/>
        <v>44</v>
      </c>
      <c r="G47" s="164">
        <f>E47*100</f>
        <v>4400</v>
      </c>
    </row>
    <row r="48" spans="1:7" s="252" customFormat="1">
      <c r="A48" s="310" t="s">
        <v>602</v>
      </c>
      <c r="B48" s="161" t="s">
        <v>485</v>
      </c>
      <c r="C48" s="163">
        <v>976</v>
      </c>
      <c r="D48" s="289">
        <v>494</v>
      </c>
      <c r="E48" s="163">
        <v>390</v>
      </c>
      <c r="F48" s="172">
        <f t="shared" ref="F48" si="8">E48-D48</f>
        <v>-104</v>
      </c>
      <c r="G48" s="164">
        <f>E48*100/D48</f>
        <v>78.94736842105263</v>
      </c>
    </row>
    <row r="49" spans="1:7" s="252" customFormat="1">
      <c r="A49" s="309" t="s">
        <v>616</v>
      </c>
      <c r="B49" s="161" t="s">
        <v>486</v>
      </c>
      <c r="C49" s="156">
        <v>501</v>
      </c>
      <c r="D49" s="163"/>
      <c r="E49" s="163">
        <f>2+45</f>
        <v>47</v>
      </c>
      <c r="F49" s="172">
        <f t="shared" ref="F49:F55" si="9">E49-D49</f>
        <v>47</v>
      </c>
      <c r="G49" s="164">
        <f>E49*100</f>
        <v>4700</v>
      </c>
    </row>
    <row r="50" spans="1:7" s="252" customFormat="1">
      <c r="A50" s="309" t="s">
        <v>636</v>
      </c>
      <c r="B50" s="161" t="s">
        <v>487</v>
      </c>
      <c r="C50" s="156">
        <f>32+135</f>
        <v>167</v>
      </c>
      <c r="D50" s="163"/>
      <c r="E50" s="163">
        <f>5+23+78</f>
        <v>106</v>
      </c>
      <c r="F50" s="172">
        <f t="shared" si="9"/>
        <v>106</v>
      </c>
      <c r="G50" s="164">
        <f>E50*100</f>
        <v>10600</v>
      </c>
    </row>
    <row r="51" spans="1:7" s="252" customFormat="1">
      <c r="A51" s="309" t="s">
        <v>610</v>
      </c>
      <c r="B51" s="161" t="s">
        <v>488</v>
      </c>
      <c r="C51" s="156"/>
      <c r="D51" s="163"/>
      <c r="E51" s="163">
        <f>6+135+36</f>
        <v>177</v>
      </c>
      <c r="F51" s="172">
        <f t="shared" si="9"/>
        <v>177</v>
      </c>
      <c r="G51" s="164">
        <f>E51*100</f>
        <v>17700</v>
      </c>
    </row>
    <row r="52" spans="1:7" s="252" customFormat="1">
      <c r="A52" s="309" t="s">
        <v>617</v>
      </c>
      <c r="B52" s="161" t="s">
        <v>489</v>
      </c>
      <c r="C52" s="156">
        <v>1213</v>
      </c>
      <c r="D52" s="163"/>
      <c r="E52" s="163">
        <v>1165</v>
      </c>
      <c r="F52" s="172">
        <f t="shared" si="9"/>
        <v>1165</v>
      </c>
      <c r="G52" s="164">
        <f>E52*100</f>
        <v>116500</v>
      </c>
    </row>
    <row r="53" spans="1:7" s="252" customFormat="1">
      <c r="A53" s="309" t="s">
        <v>618</v>
      </c>
      <c r="B53" s="161" t="s">
        <v>594</v>
      </c>
      <c r="C53" s="156">
        <v>253</v>
      </c>
      <c r="D53" s="163"/>
      <c r="E53" s="163"/>
      <c r="F53" s="172"/>
      <c r="G53" s="164"/>
    </row>
    <row r="54" spans="1:7" s="252" customFormat="1">
      <c r="A54" s="309" t="s">
        <v>634</v>
      </c>
      <c r="B54" s="161" t="s">
        <v>490</v>
      </c>
      <c r="C54" s="369">
        <v>78</v>
      </c>
      <c r="D54" s="163"/>
      <c r="E54" s="163"/>
      <c r="F54" s="172"/>
      <c r="G54" s="164"/>
    </row>
    <row r="55" spans="1:7" s="252" customFormat="1">
      <c r="A55" s="309" t="s">
        <v>609</v>
      </c>
      <c r="B55" s="161" t="s">
        <v>611</v>
      </c>
      <c r="C55" s="369">
        <v>80</v>
      </c>
      <c r="D55" s="163">
        <v>295</v>
      </c>
      <c r="E55" s="163">
        <v>931</v>
      </c>
      <c r="F55" s="172">
        <f t="shared" si="9"/>
        <v>636</v>
      </c>
      <c r="G55" s="164">
        <f>E55*100/D55</f>
        <v>315.59322033898303</v>
      </c>
    </row>
    <row r="56" spans="1:7" s="252" customFormat="1">
      <c r="A56" s="309" t="s">
        <v>558</v>
      </c>
      <c r="B56" s="161" t="s">
        <v>612</v>
      </c>
      <c r="C56" s="369">
        <v>89</v>
      </c>
      <c r="D56" s="163">
        <v>2800</v>
      </c>
      <c r="E56" s="163">
        <f>985+1000</f>
        <v>1985</v>
      </c>
      <c r="F56" s="172">
        <f t="shared" ref="F56:F57" si="10">E56-D56</f>
        <v>-815</v>
      </c>
      <c r="G56" s="164">
        <f>E56*100/D56</f>
        <v>70.892857142857139</v>
      </c>
    </row>
    <row r="57" spans="1:7" s="252" customFormat="1">
      <c r="A57" s="309" t="s">
        <v>598</v>
      </c>
      <c r="B57" s="161" t="s">
        <v>613</v>
      </c>
      <c r="C57" s="369">
        <v>1928</v>
      </c>
      <c r="D57" s="163">
        <v>852</v>
      </c>
      <c r="E57" s="163">
        <v>852</v>
      </c>
      <c r="F57" s="172">
        <f t="shared" si="10"/>
        <v>0</v>
      </c>
      <c r="G57" s="164">
        <f>E57*100/D57</f>
        <v>100</v>
      </c>
    </row>
    <row r="58" spans="1:7">
      <c r="A58" s="271" t="s">
        <v>120</v>
      </c>
      <c r="B58" s="259">
        <v>3280</v>
      </c>
      <c r="C58" s="370">
        <f>SUM(C59:C72)</f>
        <v>41528</v>
      </c>
      <c r="D58" s="162">
        <f>SUM(D59:D72)</f>
        <v>42591</v>
      </c>
      <c r="E58" s="162">
        <f>SUM(E59:E72)</f>
        <v>9867</v>
      </c>
      <c r="F58" s="230">
        <f>E58-D58</f>
        <v>-32724</v>
      </c>
      <c r="G58" s="260">
        <f>E58*100/D58</f>
        <v>23.166866239346341</v>
      </c>
    </row>
    <row r="59" spans="1:7">
      <c r="A59" s="309" t="s">
        <v>545</v>
      </c>
      <c r="B59" s="161" t="s">
        <v>658</v>
      </c>
      <c r="C59" s="369">
        <v>6142</v>
      </c>
      <c r="D59" s="289">
        <v>26700</v>
      </c>
      <c r="E59" s="163">
        <v>5675</v>
      </c>
      <c r="F59" s="172">
        <f t="shared" ref="F59:F73" si="11">E59-D59</f>
        <v>-21025</v>
      </c>
      <c r="G59" s="164">
        <f t="shared" ref="G59" si="12">E59*100/D59</f>
        <v>21.254681647940075</v>
      </c>
    </row>
    <row r="60" spans="1:7">
      <c r="A60" s="309" t="s">
        <v>580</v>
      </c>
      <c r="B60" s="161" t="s">
        <v>659</v>
      </c>
      <c r="C60" s="163">
        <v>34791</v>
      </c>
      <c r="D60" s="163">
        <v>5000</v>
      </c>
      <c r="E60" s="163">
        <v>3055</v>
      </c>
      <c r="F60" s="172">
        <f t="shared" si="11"/>
        <v>-1945</v>
      </c>
      <c r="G60" s="164">
        <f t="shared" ref="G60:G63" si="13">E60*100/D60</f>
        <v>61.1</v>
      </c>
    </row>
    <row r="61" spans="1:7">
      <c r="A61" s="309" t="s">
        <v>533</v>
      </c>
      <c r="B61" s="161" t="s">
        <v>660</v>
      </c>
      <c r="C61" s="369">
        <v>498</v>
      </c>
      <c r="D61" s="289"/>
      <c r="E61" s="156">
        <v>3</v>
      </c>
      <c r="F61" s="172">
        <f t="shared" si="11"/>
        <v>3</v>
      </c>
      <c r="G61" s="164">
        <f>E61*100</f>
        <v>300</v>
      </c>
    </row>
    <row r="62" spans="1:7" ht="25.5">
      <c r="A62" s="309" t="s">
        <v>560</v>
      </c>
      <c r="B62" s="161" t="s">
        <v>661</v>
      </c>
      <c r="C62" s="369">
        <v>87</v>
      </c>
      <c r="D62" s="289">
        <v>10330</v>
      </c>
      <c r="E62" s="156">
        <v>355</v>
      </c>
      <c r="F62" s="172">
        <f t="shared" ref="F62:F64" si="14">E62-D62</f>
        <v>-9975</v>
      </c>
      <c r="G62" s="164">
        <f t="shared" si="13"/>
        <v>3.4365924491771538</v>
      </c>
    </row>
    <row r="63" spans="1:7" ht="25.5">
      <c r="A63" s="309" t="s">
        <v>650</v>
      </c>
      <c r="B63" s="161" t="s">
        <v>662</v>
      </c>
      <c r="C63" s="369"/>
      <c r="D63" s="289">
        <v>10</v>
      </c>
      <c r="E63" s="156"/>
      <c r="F63" s="172">
        <f t="shared" si="14"/>
        <v>-10</v>
      </c>
      <c r="G63" s="164">
        <f t="shared" si="13"/>
        <v>0</v>
      </c>
    </row>
    <row r="64" spans="1:7" ht="25.5">
      <c r="A64" s="309" t="s">
        <v>652</v>
      </c>
      <c r="B64" s="161" t="s">
        <v>663</v>
      </c>
      <c r="C64" s="369"/>
      <c r="D64" s="289"/>
      <c r="E64" s="156">
        <v>3</v>
      </c>
      <c r="F64" s="172">
        <f t="shared" si="14"/>
        <v>3</v>
      </c>
      <c r="G64" s="164">
        <f>E64*100</f>
        <v>300</v>
      </c>
    </row>
    <row r="65" spans="1:7" ht="31.5" customHeight="1">
      <c r="A65" s="309" t="s">
        <v>653</v>
      </c>
      <c r="B65" s="161" t="s">
        <v>664</v>
      </c>
      <c r="C65" s="369"/>
      <c r="D65" s="289"/>
      <c r="E65" s="156">
        <f>39+29</f>
        <v>68</v>
      </c>
      <c r="F65" s="172">
        <f t="shared" ref="F65:F72" si="15">E65-D65</f>
        <v>68</v>
      </c>
      <c r="G65" s="164">
        <f t="shared" ref="G65:G70" si="16">E65*100</f>
        <v>6800</v>
      </c>
    </row>
    <row r="66" spans="1:7" ht="38.25">
      <c r="A66" s="309" t="s">
        <v>651</v>
      </c>
      <c r="B66" s="161" t="s">
        <v>665</v>
      </c>
      <c r="C66" s="369"/>
      <c r="D66" s="289">
        <v>29</v>
      </c>
      <c r="E66" s="156"/>
      <c r="F66" s="172">
        <f t="shared" si="15"/>
        <v>-29</v>
      </c>
      <c r="G66" s="164">
        <f>E66*100/D66</f>
        <v>0</v>
      </c>
    </row>
    <row r="67" spans="1:7" ht="25.5">
      <c r="A67" s="309" t="s">
        <v>654</v>
      </c>
      <c r="B67" s="161" t="s">
        <v>666</v>
      </c>
      <c r="C67" s="369"/>
      <c r="D67" s="289"/>
      <c r="E67" s="156">
        <v>22</v>
      </c>
      <c r="F67" s="172">
        <f t="shared" si="15"/>
        <v>22</v>
      </c>
      <c r="G67" s="164">
        <f t="shared" si="16"/>
        <v>2200</v>
      </c>
    </row>
    <row r="68" spans="1:7" ht="38.25">
      <c r="A68" s="309" t="s">
        <v>655</v>
      </c>
      <c r="B68" s="161" t="s">
        <v>667</v>
      </c>
      <c r="C68" s="369"/>
      <c r="D68" s="289"/>
      <c r="E68" s="156">
        <v>105</v>
      </c>
      <c r="F68" s="172">
        <f t="shared" si="15"/>
        <v>105</v>
      </c>
      <c r="G68" s="164">
        <f t="shared" si="16"/>
        <v>10500</v>
      </c>
    </row>
    <row r="69" spans="1:7" ht="25.5">
      <c r="A69" s="309" t="s">
        <v>656</v>
      </c>
      <c r="B69" s="161" t="s">
        <v>668</v>
      </c>
      <c r="C69" s="369"/>
      <c r="D69" s="289"/>
      <c r="E69" s="156">
        <v>57</v>
      </c>
      <c r="F69" s="172">
        <f t="shared" si="15"/>
        <v>57</v>
      </c>
      <c r="G69" s="164">
        <f t="shared" si="16"/>
        <v>5700</v>
      </c>
    </row>
    <row r="70" spans="1:7" ht="25.5">
      <c r="A70" s="309" t="s">
        <v>657</v>
      </c>
      <c r="B70" s="161" t="s">
        <v>669</v>
      </c>
      <c r="C70" s="369"/>
      <c r="D70" s="289"/>
      <c r="E70" s="156">
        <v>74</v>
      </c>
      <c r="F70" s="172">
        <f t="shared" si="15"/>
        <v>74</v>
      </c>
      <c r="G70" s="164">
        <f t="shared" si="16"/>
        <v>7400</v>
      </c>
    </row>
    <row r="71" spans="1:7">
      <c r="A71" s="309" t="s">
        <v>635</v>
      </c>
      <c r="B71" s="161" t="s">
        <v>670</v>
      </c>
      <c r="C71" s="369"/>
      <c r="D71" s="289">
        <v>522</v>
      </c>
      <c r="E71" s="156">
        <v>450</v>
      </c>
      <c r="F71" s="172">
        <f t="shared" ref="F71" si="17">E71-D71</f>
        <v>-72</v>
      </c>
      <c r="G71" s="164">
        <f>E71*100/D71</f>
        <v>86.206896551724142</v>
      </c>
    </row>
    <row r="72" spans="1:7">
      <c r="A72" s="309" t="s">
        <v>690</v>
      </c>
      <c r="B72" s="161" t="s">
        <v>689</v>
      </c>
      <c r="C72" s="369">
        <v>10</v>
      </c>
      <c r="D72" s="289"/>
      <c r="E72" s="156"/>
      <c r="F72" s="172">
        <f t="shared" si="15"/>
        <v>0</v>
      </c>
      <c r="G72" s="164">
        <f>E72*100</f>
        <v>0</v>
      </c>
    </row>
    <row r="73" spans="1:7" ht="37.5">
      <c r="A73" s="271" t="s">
        <v>121</v>
      </c>
      <c r="B73" s="259">
        <v>3290</v>
      </c>
      <c r="C73" s="370">
        <f>C74</f>
        <v>0</v>
      </c>
      <c r="D73" s="162"/>
      <c r="E73" s="162">
        <f>SUM(E74:E74)</f>
        <v>0</v>
      </c>
      <c r="F73" s="172">
        <f t="shared" si="11"/>
        <v>0</v>
      </c>
      <c r="G73" s="164">
        <f>E73*100</f>
        <v>0</v>
      </c>
    </row>
    <row r="74" spans="1:7" ht="21" customHeight="1">
      <c r="A74" s="310"/>
      <c r="B74" s="161" t="s">
        <v>537</v>
      </c>
      <c r="C74" s="369"/>
      <c r="D74" s="156"/>
      <c r="E74" s="156"/>
      <c r="F74" s="172"/>
      <c r="G74" s="164"/>
    </row>
    <row r="75" spans="1:7">
      <c r="A75" s="271" t="s">
        <v>54</v>
      </c>
      <c r="B75" s="259">
        <v>3300</v>
      </c>
      <c r="C75" s="370"/>
      <c r="D75" s="162"/>
      <c r="E75" s="162"/>
      <c r="F75" s="230"/>
      <c r="G75" s="260"/>
    </row>
    <row r="76" spans="1:7">
      <c r="A76" s="271" t="s">
        <v>113</v>
      </c>
      <c r="B76" s="259">
        <v>3310</v>
      </c>
      <c r="C76" s="370"/>
      <c r="D76" s="162"/>
      <c r="E76" s="162"/>
      <c r="F76" s="230"/>
      <c r="G76" s="260"/>
    </row>
    <row r="77" spans="1:7" ht="37.5">
      <c r="A77" s="269" t="s">
        <v>160</v>
      </c>
      <c r="B77" s="259">
        <v>3320</v>
      </c>
      <c r="C77" s="370">
        <f>-(C42+C58+C73)-C40</f>
        <v>-48357</v>
      </c>
      <c r="D77" s="162">
        <f>-(D42+D58+D73)</f>
        <v>-47304</v>
      </c>
      <c r="E77" s="162">
        <f>-(E39+E42+E58+E73)</f>
        <v>-15739</v>
      </c>
      <c r="F77" s="230">
        <f>E77-D77</f>
        <v>31565</v>
      </c>
      <c r="G77" s="260">
        <f>E77*100/D77</f>
        <v>33.272027735498057</v>
      </c>
    </row>
    <row r="78" spans="1:7" ht="18.75" customHeight="1">
      <c r="A78" s="432" t="s">
        <v>161</v>
      </c>
      <c r="B78" s="433"/>
      <c r="C78" s="433"/>
      <c r="D78" s="433"/>
      <c r="E78" s="433"/>
      <c r="F78" s="433"/>
      <c r="G78" s="434"/>
    </row>
    <row r="79" spans="1:7">
      <c r="A79" s="269" t="s">
        <v>287</v>
      </c>
      <c r="B79" s="259"/>
      <c r="C79" s="162"/>
      <c r="D79" s="162"/>
      <c r="E79" s="162"/>
      <c r="F79" s="230"/>
      <c r="G79" s="260"/>
    </row>
    <row r="80" spans="1:7">
      <c r="A80" s="258" t="s">
        <v>167</v>
      </c>
      <c r="B80" s="259">
        <v>3400</v>
      </c>
      <c r="C80" s="162">
        <v>26</v>
      </c>
      <c r="D80" s="162"/>
      <c r="E80" s="162">
        <f>SUM(E81:E84)</f>
        <v>10022</v>
      </c>
      <c r="F80" s="230">
        <f>D80-E80</f>
        <v>-10022</v>
      </c>
      <c r="G80" s="260">
        <f>E80*100</f>
        <v>1002200</v>
      </c>
    </row>
    <row r="81" spans="1:7" ht="49.5" customHeight="1">
      <c r="A81" s="665" t="s">
        <v>699</v>
      </c>
      <c r="B81" s="161" t="s">
        <v>696</v>
      </c>
      <c r="C81" s="162"/>
      <c r="D81" s="162"/>
      <c r="E81" s="156">
        <v>9658</v>
      </c>
      <c r="F81" s="172">
        <f t="shared" ref="F81:F83" si="18">D81-E81</f>
        <v>-9658</v>
      </c>
      <c r="G81" s="164">
        <f t="shared" ref="G81:G83" si="19">E81*100</f>
        <v>965800</v>
      </c>
    </row>
    <row r="82" spans="1:7" ht="22.5">
      <c r="A82" s="665" t="s">
        <v>701</v>
      </c>
      <c r="B82" s="161" t="s">
        <v>697</v>
      </c>
      <c r="C82" s="162"/>
      <c r="D82" s="162"/>
      <c r="E82" s="156">
        <f>40</f>
        <v>40</v>
      </c>
      <c r="F82" s="172">
        <f t="shared" si="18"/>
        <v>-40</v>
      </c>
      <c r="G82" s="164">
        <f t="shared" si="19"/>
        <v>4000</v>
      </c>
    </row>
    <row r="83" spans="1:7" ht="33.75">
      <c r="A83" s="665" t="s">
        <v>702</v>
      </c>
      <c r="B83" s="161" t="s">
        <v>698</v>
      </c>
      <c r="C83" s="162"/>
      <c r="D83" s="162"/>
      <c r="E83" s="156">
        <f>3+132</f>
        <v>135</v>
      </c>
      <c r="F83" s="172">
        <f t="shared" si="18"/>
        <v>-135</v>
      </c>
      <c r="G83" s="164">
        <f t="shared" si="19"/>
        <v>13500</v>
      </c>
    </row>
    <row r="84" spans="1:7" ht="22.5">
      <c r="A84" s="665" t="s">
        <v>700</v>
      </c>
      <c r="B84" s="161" t="s">
        <v>703</v>
      </c>
      <c r="C84" s="162"/>
      <c r="D84" s="162"/>
      <c r="E84" s="174">
        <v>189</v>
      </c>
      <c r="F84" s="174">
        <f>D84-E84</f>
        <v>-189</v>
      </c>
      <c r="G84" s="174">
        <f>E84*100</f>
        <v>18900</v>
      </c>
    </row>
    <row r="85" spans="1:7" ht="37.5">
      <c r="A85" s="271" t="s">
        <v>91</v>
      </c>
      <c r="B85" s="261"/>
      <c r="C85" s="324"/>
      <c r="D85" s="324"/>
      <c r="E85" s="324"/>
      <c r="F85" s="172"/>
      <c r="G85" s="164"/>
    </row>
    <row r="86" spans="1:7">
      <c r="A86" s="271" t="s">
        <v>90</v>
      </c>
      <c r="B86" s="259">
        <v>3410</v>
      </c>
      <c r="C86" s="162"/>
      <c r="D86" s="162"/>
      <c r="E86" s="162"/>
      <c r="F86" s="172"/>
      <c r="G86" s="164"/>
    </row>
    <row r="87" spans="1:7">
      <c r="A87" s="271" t="s">
        <v>95</v>
      </c>
      <c r="B87" s="263">
        <v>3420</v>
      </c>
      <c r="C87" s="262"/>
      <c r="D87" s="262"/>
      <c r="E87" s="262"/>
      <c r="F87" s="172"/>
      <c r="G87" s="164"/>
    </row>
    <row r="88" spans="1:7">
      <c r="A88" s="271" t="s">
        <v>122</v>
      </c>
      <c r="B88" s="259">
        <v>3430</v>
      </c>
      <c r="C88" s="162"/>
      <c r="D88" s="162"/>
      <c r="E88" s="162"/>
      <c r="F88" s="172"/>
      <c r="G88" s="164"/>
    </row>
    <row r="89" spans="1:7" ht="37.5">
      <c r="A89" s="271" t="s">
        <v>93</v>
      </c>
      <c r="B89" s="259"/>
      <c r="C89" s="162"/>
      <c r="D89" s="162"/>
      <c r="E89" s="162"/>
      <c r="F89" s="172"/>
      <c r="G89" s="164"/>
    </row>
    <row r="90" spans="1:7">
      <c r="A90" s="271" t="s">
        <v>90</v>
      </c>
      <c r="B90" s="263">
        <v>3440</v>
      </c>
      <c r="C90" s="262"/>
      <c r="D90" s="262"/>
      <c r="E90" s="262"/>
      <c r="F90" s="172"/>
      <c r="G90" s="164"/>
    </row>
    <row r="91" spans="1:7">
      <c r="A91" s="271" t="s">
        <v>95</v>
      </c>
      <c r="B91" s="263">
        <v>3450</v>
      </c>
      <c r="C91" s="262"/>
      <c r="D91" s="262"/>
      <c r="E91" s="262"/>
      <c r="F91" s="172"/>
      <c r="G91" s="164"/>
    </row>
    <row r="92" spans="1:7">
      <c r="A92" s="271" t="s">
        <v>122</v>
      </c>
      <c r="B92" s="263">
        <v>3460</v>
      </c>
      <c r="C92" s="262"/>
      <c r="D92" s="262"/>
      <c r="E92" s="262"/>
      <c r="F92" s="172"/>
      <c r="G92" s="164"/>
    </row>
    <row r="93" spans="1:7">
      <c r="A93" s="271" t="s">
        <v>117</v>
      </c>
      <c r="B93" s="263">
        <v>3470</v>
      </c>
      <c r="C93" s="262"/>
      <c r="D93" s="262">
        <f>D94</f>
        <v>41700</v>
      </c>
      <c r="E93" s="262">
        <f>E94</f>
        <v>7569</v>
      </c>
      <c r="F93" s="230">
        <f t="shared" ref="F93:F94" si="20">E93-D93</f>
        <v>-34131</v>
      </c>
      <c r="G93" s="260">
        <f t="shared" ref="G93:G94" si="21">E93*100/D93</f>
        <v>18.151079136690647</v>
      </c>
    </row>
    <row r="94" spans="1:7">
      <c r="A94" s="314" t="s">
        <v>672</v>
      </c>
      <c r="B94" s="161" t="s">
        <v>538</v>
      </c>
      <c r="C94" s="174"/>
      <c r="D94" s="174">
        <v>41700</v>
      </c>
      <c r="E94" s="174">
        <v>7569</v>
      </c>
      <c r="F94" s="172">
        <f t="shared" si="20"/>
        <v>-34131</v>
      </c>
      <c r="G94" s="164">
        <f t="shared" si="21"/>
        <v>18.151079136690647</v>
      </c>
    </row>
    <row r="95" spans="1:7" ht="24" customHeight="1">
      <c r="A95" s="271" t="s">
        <v>118</v>
      </c>
      <c r="B95" s="263">
        <v>3480</v>
      </c>
      <c r="C95" s="262">
        <f>C96</f>
        <v>71436</v>
      </c>
      <c r="D95" s="262">
        <f>D96</f>
        <v>30988</v>
      </c>
      <c r="E95" s="262">
        <f>E96</f>
        <v>38588</v>
      </c>
      <c r="F95" s="264">
        <f>E95-D95</f>
        <v>7600</v>
      </c>
      <c r="G95" s="265">
        <f>E95*100/D95</f>
        <v>124.52562282173744</v>
      </c>
    </row>
    <row r="96" spans="1:7" ht="37.5">
      <c r="A96" s="219" t="s">
        <v>476</v>
      </c>
      <c r="B96" s="161" t="s">
        <v>477</v>
      </c>
      <c r="C96" s="174">
        <v>71436</v>
      </c>
      <c r="D96" s="174">
        <v>30988</v>
      </c>
      <c r="E96" s="174">
        <v>38588</v>
      </c>
      <c r="F96" s="267">
        <f>E96-D96</f>
        <v>7600</v>
      </c>
      <c r="G96" s="268">
        <f>E96*100/D96</f>
        <v>124.52562282173744</v>
      </c>
    </row>
    <row r="97" spans="1:7">
      <c r="A97" s="269" t="s">
        <v>288</v>
      </c>
      <c r="B97" s="259"/>
      <c r="C97" s="162"/>
      <c r="D97" s="162"/>
      <c r="E97" s="162"/>
      <c r="F97" s="267"/>
      <c r="G97" s="268"/>
    </row>
    <row r="98" spans="1:7" ht="37.5">
      <c r="A98" s="271" t="s">
        <v>289</v>
      </c>
      <c r="B98" s="259">
        <v>3490</v>
      </c>
      <c r="C98" s="162"/>
      <c r="D98" s="162"/>
      <c r="E98" s="162"/>
      <c r="F98" s="267"/>
      <c r="G98" s="268"/>
    </row>
    <row r="99" spans="1:7">
      <c r="A99" s="271" t="s">
        <v>290</v>
      </c>
      <c r="B99" s="259">
        <v>3500</v>
      </c>
      <c r="C99" s="162"/>
      <c r="D99" s="162"/>
      <c r="E99" s="162"/>
      <c r="F99" s="267"/>
      <c r="G99" s="268"/>
    </row>
    <row r="100" spans="1:7" ht="37.5">
      <c r="A100" s="271" t="s">
        <v>94</v>
      </c>
      <c r="B100" s="259"/>
      <c r="C100" s="162"/>
      <c r="D100" s="162"/>
      <c r="E100" s="162"/>
      <c r="F100" s="267"/>
      <c r="G100" s="268"/>
    </row>
    <row r="101" spans="1:7">
      <c r="A101" s="271" t="s">
        <v>90</v>
      </c>
      <c r="B101" s="263">
        <v>3510</v>
      </c>
      <c r="C101" s="262"/>
      <c r="D101" s="262"/>
      <c r="E101" s="262"/>
      <c r="F101" s="267"/>
      <c r="G101" s="268"/>
    </row>
    <row r="102" spans="1:7">
      <c r="A102" s="271" t="s">
        <v>95</v>
      </c>
      <c r="B102" s="263">
        <v>3520</v>
      </c>
      <c r="C102" s="262"/>
      <c r="D102" s="262"/>
      <c r="E102" s="262"/>
      <c r="F102" s="267"/>
      <c r="G102" s="268"/>
    </row>
    <row r="103" spans="1:7">
      <c r="A103" s="271" t="s">
        <v>122</v>
      </c>
      <c r="B103" s="263">
        <v>3530</v>
      </c>
      <c r="C103" s="262"/>
      <c r="D103" s="262"/>
      <c r="E103" s="262"/>
      <c r="F103" s="267"/>
      <c r="G103" s="268"/>
    </row>
    <row r="104" spans="1:7" ht="37.5">
      <c r="A104" s="271" t="s">
        <v>92</v>
      </c>
      <c r="B104" s="259"/>
      <c r="C104" s="162"/>
      <c r="D104" s="162"/>
      <c r="E104" s="162"/>
      <c r="F104" s="267"/>
      <c r="G104" s="268"/>
    </row>
    <row r="105" spans="1:7">
      <c r="A105" s="271" t="s">
        <v>90</v>
      </c>
      <c r="B105" s="263">
        <v>3540</v>
      </c>
      <c r="C105" s="262"/>
      <c r="D105" s="262"/>
      <c r="E105" s="262"/>
      <c r="F105" s="267"/>
      <c r="G105" s="268"/>
    </row>
    <row r="106" spans="1:7">
      <c r="A106" s="271" t="s">
        <v>95</v>
      </c>
      <c r="B106" s="263">
        <v>3550</v>
      </c>
      <c r="C106" s="262"/>
      <c r="D106" s="262"/>
      <c r="E106" s="262"/>
      <c r="F106" s="267"/>
      <c r="G106" s="268"/>
    </row>
    <row r="107" spans="1:7">
      <c r="A107" s="271" t="s">
        <v>122</v>
      </c>
      <c r="B107" s="263">
        <v>3560</v>
      </c>
      <c r="C107" s="262"/>
      <c r="D107" s="262"/>
      <c r="E107" s="262"/>
      <c r="F107" s="267"/>
      <c r="G107" s="268"/>
    </row>
    <row r="108" spans="1:7">
      <c r="A108" s="271" t="s">
        <v>113</v>
      </c>
      <c r="B108" s="263">
        <v>3570</v>
      </c>
      <c r="C108" s="262">
        <f>C109+C110</f>
        <v>0</v>
      </c>
      <c r="D108" s="262"/>
      <c r="E108" s="262">
        <f t="shared" ref="E108" si="22">E109+E110</f>
        <v>365</v>
      </c>
      <c r="F108" s="264">
        <f t="shared" ref="F108:F109" si="23">E108-D108</f>
        <v>365</v>
      </c>
      <c r="G108" s="265">
        <f>E108*100</f>
        <v>36500</v>
      </c>
    </row>
    <row r="109" spans="1:7" ht="38.25">
      <c r="A109" s="284" t="s">
        <v>591</v>
      </c>
      <c r="B109" s="349" t="s">
        <v>590</v>
      </c>
      <c r="C109" s="349"/>
      <c r="D109" s="349"/>
      <c r="E109" s="349">
        <v>365</v>
      </c>
      <c r="F109" s="267">
        <f t="shared" si="23"/>
        <v>365</v>
      </c>
      <c r="G109" s="268">
        <f>E109*100</f>
        <v>36500</v>
      </c>
    </row>
    <row r="110" spans="1:7">
      <c r="A110" s="348"/>
      <c r="B110" s="349" t="s">
        <v>629</v>
      </c>
      <c r="C110" s="174"/>
      <c r="D110" s="174"/>
      <c r="E110" s="156"/>
      <c r="F110" s="267"/>
      <c r="G110" s="268"/>
    </row>
    <row r="111" spans="1:7">
      <c r="A111" s="269" t="s">
        <v>162</v>
      </c>
      <c r="B111" s="315">
        <v>3580</v>
      </c>
      <c r="C111" s="316">
        <f>C80+C95+C93-C108</f>
        <v>71462</v>
      </c>
      <c r="D111" s="316">
        <f>D80+D95+D93-D108</f>
        <v>72688</v>
      </c>
      <c r="E111" s="316">
        <f>E80+E95+E93+E108</f>
        <v>56544</v>
      </c>
      <c r="F111" s="317">
        <f>E111-D111</f>
        <v>-16144</v>
      </c>
      <c r="G111" s="318">
        <f>E111*100/D111</f>
        <v>77.790006603565928</v>
      </c>
    </row>
    <row r="112" spans="1:7" s="4" customFormat="1">
      <c r="A112" s="271" t="s">
        <v>322</v>
      </c>
      <c r="B112" s="263"/>
      <c r="C112" s="262"/>
      <c r="D112" s="262"/>
      <c r="E112" s="262"/>
      <c r="F112" s="264"/>
      <c r="G112" s="265"/>
    </row>
    <row r="113" spans="1:7" s="4" customFormat="1">
      <c r="A113" s="270" t="s">
        <v>34</v>
      </c>
      <c r="B113" s="315">
        <v>3600</v>
      </c>
      <c r="C113" s="316">
        <v>9095</v>
      </c>
      <c r="D113" s="316">
        <v>596</v>
      </c>
      <c r="E113" s="316">
        <v>596</v>
      </c>
      <c r="F113" s="317">
        <f t="shared" ref="F113:F116" si="24">E113-D113</f>
        <v>0</v>
      </c>
      <c r="G113" s="318">
        <f>E113*100/D113</f>
        <v>100</v>
      </c>
    </row>
    <row r="114" spans="1:7" s="4" customFormat="1">
      <c r="A114" s="272" t="s">
        <v>291</v>
      </c>
      <c r="B114" s="263">
        <v>3610</v>
      </c>
      <c r="C114" s="262"/>
      <c r="D114" s="262"/>
      <c r="E114" s="262"/>
      <c r="F114" s="264"/>
      <c r="G114" s="265"/>
    </row>
    <row r="115" spans="1:7" s="4" customFormat="1">
      <c r="A115" s="270" t="s">
        <v>55</v>
      </c>
      <c r="B115" s="315">
        <v>3620</v>
      </c>
      <c r="C115" s="316">
        <f>C29+C77+C111+C113</f>
        <v>12724</v>
      </c>
      <c r="D115" s="316">
        <f>D29+D77+D111+D113</f>
        <v>4707</v>
      </c>
      <c r="E115" s="316">
        <f>E29+E77+E111+E113</f>
        <v>7738</v>
      </c>
      <c r="F115" s="317">
        <f t="shared" si="24"/>
        <v>3031</v>
      </c>
      <c r="G115" s="318">
        <f>E115*100/D115</f>
        <v>164.39345655406842</v>
      </c>
    </row>
    <row r="116" spans="1:7" s="4" customFormat="1">
      <c r="A116" s="270" t="s">
        <v>35</v>
      </c>
      <c r="B116" s="315">
        <v>3630</v>
      </c>
      <c r="C116" s="316">
        <f>C115-C113</f>
        <v>3629</v>
      </c>
      <c r="D116" s="316">
        <f t="shared" ref="D116" si="25">D115-D113</f>
        <v>4111</v>
      </c>
      <c r="E116" s="359">
        <f>E115-E113</f>
        <v>7142</v>
      </c>
      <c r="F116" s="317">
        <f t="shared" si="24"/>
        <v>3031</v>
      </c>
      <c r="G116" s="318">
        <f>E116*100/D116</f>
        <v>173.72901970323522</v>
      </c>
    </row>
    <row r="117" spans="1:7" s="4" customFormat="1">
      <c r="A117" s="252"/>
      <c r="B117" s="273"/>
      <c r="C117" s="286"/>
      <c r="D117" s="286"/>
      <c r="E117" s="666">
        <f>7738-E115</f>
        <v>0</v>
      </c>
      <c r="F117" s="273"/>
      <c r="G117" s="273"/>
    </row>
    <row r="118" spans="1:7" s="2" customFormat="1">
      <c r="A118" s="274"/>
      <c r="B118" s="275"/>
      <c r="C118" s="276"/>
      <c r="D118" s="290"/>
      <c r="E118" s="435"/>
      <c r="F118" s="436"/>
      <c r="G118" s="436"/>
    </row>
    <row r="119" spans="1:7" s="10" customFormat="1" ht="20.100000000000001" customHeight="1">
      <c r="A119" s="277" t="s">
        <v>402</v>
      </c>
      <c r="B119" s="247"/>
      <c r="C119" s="411"/>
      <c r="D119" s="411"/>
      <c r="E119" s="209"/>
      <c r="F119" s="278" t="s">
        <v>642</v>
      </c>
      <c r="G119" s="209"/>
    </row>
    <row r="120" spans="1:7" s="24" customFormat="1" ht="19.5" customHeight="1">
      <c r="A120" s="248" t="s">
        <v>390</v>
      </c>
      <c r="B120" s="160"/>
      <c r="C120" s="411" t="s">
        <v>78</v>
      </c>
      <c r="D120" s="411"/>
      <c r="E120" s="209"/>
      <c r="F120" s="411" t="s">
        <v>363</v>
      </c>
      <c r="G120" s="411"/>
    </row>
  </sheetData>
  <autoFilter ref="A5:G116">
    <filterColumn colId="3" showButton="0"/>
    <filterColumn colId="4" showButton="0"/>
    <filterColumn colId="5" showButton="0"/>
  </autoFilter>
  <mergeCells count="12">
    <mergeCell ref="A8:G8"/>
    <mergeCell ref="A3:G3"/>
    <mergeCell ref="A5:A6"/>
    <mergeCell ref="B5:B6"/>
    <mergeCell ref="D5:G5"/>
    <mergeCell ref="C5:C6"/>
    <mergeCell ref="A78:G78"/>
    <mergeCell ref="E118:G118"/>
    <mergeCell ref="F120:G120"/>
    <mergeCell ref="C120:D120"/>
    <mergeCell ref="A30:G30"/>
    <mergeCell ref="C119:D119"/>
  </mergeCells>
  <phoneticPr fontId="3" type="noConversion"/>
  <pageMargins left="0.78740157480314965" right="0.39370078740157483" top="0.59055118110236227" bottom="0.59055118110236227" header="0.19685039370078741" footer="0.23622047244094491"/>
  <pageSetup paperSize="9" scale="63" fitToHeight="6" orientation="portrait" copies="4" r:id="rId1"/>
  <headerFooter alignWithMargins="0"/>
  <drawing r:id="rId2"/>
</worksheet>
</file>

<file path=xl/worksheets/sheet5.xml><?xml version="1.0" encoding="utf-8"?>
<worksheet xmlns="http://schemas.openxmlformats.org/spreadsheetml/2006/main" xmlns:r="http://schemas.openxmlformats.org/officeDocument/2006/relationships">
  <sheetPr>
    <tabColor rgb="FFFFFF00"/>
  </sheetPr>
  <dimension ref="A1:N182"/>
  <sheetViews>
    <sheetView view="pageBreakPreview" zoomScale="80" zoomScaleNormal="75" zoomScaleSheetLayoutView="80" workbookViewId="0">
      <selection activeCell="D8" sqref="D8"/>
    </sheetView>
  </sheetViews>
  <sheetFormatPr defaultRowHeight="20.25"/>
  <cols>
    <col min="1" max="1" width="67.7109375" style="10" customWidth="1"/>
    <col min="2" max="2" width="9.85546875" style="12" customWidth="1"/>
    <col min="3" max="3" width="20.42578125" style="12" customWidth="1"/>
    <col min="4" max="4" width="17.7109375" style="12" customWidth="1"/>
    <col min="5" max="5" width="18.42578125" style="12" customWidth="1"/>
    <col min="6" max="6" width="18.85546875" style="12" customWidth="1"/>
    <col min="7" max="7" width="18.5703125" style="12" customWidth="1"/>
    <col min="8" max="8" width="9.5703125" style="10" customWidth="1"/>
    <col min="9" max="9" width="9.85546875" style="10" customWidth="1"/>
    <col min="10" max="16384" width="9.140625" style="10"/>
  </cols>
  <sheetData>
    <row r="1" spans="1:14">
      <c r="A1" s="446" t="s">
        <v>378</v>
      </c>
      <c r="B1" s="446"/>
      <c r="C1" s="446"/>
      <c r="D1" s="446"/>
      <c r="E1" s="446"/>
      <c r="F1" s="446"/>
      <c r="G1" s="446"/>
    </row>
    <row r="2" spans="1:14">
      <c r="A2" s="448"/>
      <c r="B2" s="448"/>
      <c r="C2" s="448"/>
      <c r="D2" s="448"/>
      <c r="E2" s="448"/>
      <c r="F2" s="448"/>
      <c r="G2" s="448"/>
    </row>
    <row r="3" spans="1:14" ht="43.5" customHeight="1">
      <c r="A3" s="444" t="s">
        <v>286</v>
      </c>
      <c r="B3" s="447" t="s">
        <v>18</v>
      </c>
      <c r="C3" s="430" t="s">
        <v>357</v>
      </c>
      <c r="D3" s="428" t="s">
        <v>355</v>
      </c>
      <c r="E3" s="428"/>
      <c r="F3" s="428"/>
      <c r="G3" s="428"/>
    </row>
    <row r="4" spans="1:14" ht="56.25" customHeight="1">
      <c r="A4" s="445"/>
      <c r="B4" s="447"/>
      <c r="C4" s="431"/>
      <c r="D4" s="357" t="s">
        <v>264</v>
      </c>
      <c r="E4" s="357" t="s">
        <v>247</v>
      </c>
      <c r="F4" s="355" t="s">
        <v>274</v>
      </c>
      <c r="G4" s="355" t="s">
        <v>275</v>
      </c>
    </row>
    <row r="5" spans="1:14" ht="18.75" customHeight="1">
      <c r="A5" s="15">
        <v>1</v>
      </c>
      <c r="B5" s="17">
        <v>2</v>
      </c>
      <c r="C5" s="15">
        <v>3</v>
      </c>
      <c r="D5" s="15">
        <v>4</v>
      </c>
      <c r="E5" s="17">
        <v>5</v>
      </c>
      <c r="F5" s="15">
        <v>6</v>
      </c>
      <c r="G5" s="17">
        <v>7</v>
      </c>
    </row>
    <row r="6" spans="1:14" s="23" customFormat="1" ht="56.25" customHeight="1">
      <c r="A6" s="21" t="s">
        <v>81</v>
      </c>
      <c r="B6" s="40">
        <v>4000</v>
      </c>
      <c r="C6" s="325">
        <f>SUM(C7:C11)</f>
        <v>48357</v>
      </c>
      <c r="D6" s="325">
        <f>D7+D8+D9+D10+D11</f>
        <v>47304</v>
      </c>
      <c r="E6" s="325">
        <f>E7+E8+E9+E10+E11</f>
        <v>15739</v>
      </c>
      <c r="F6" s="326">
        <f>E6-D6</f>
        <v>-31565</v>
      </c>
      <c r="G6" s="327">
        <f>E6*100/D6</f>
        <v>33.272027735498057</v>
      </c>
    </row>
    <row r="7" spans="1:14" ht="56.25" customHeight="1">
      <c r="A7" s="21" t="s">
        <v>1</v>
      </c>
      <c r="B7" s="41" t="s">
        <v>223</v>
      </c>
      <c r="C7" s="319">
        <f>'3. Рух грошових коштів'!C58</f>
        <v>41528</v>
      </c>
      <c r="D7" s="374">
        <f>'3. Рух грошових коштів'!D58</f>
        <v>42591</v>
      </c>
      <c r="E7" s="374">
        <f>'3. Рух грошових коштів'!E58</f>
        <v>9867</v>
      </c>
      <c r="F7" s="326">
        <f t="shared" ref="F7:F9" si="0">E7-D7</f>
        <v>-32724</v>
      </c>
      <c r="G7" s="159">
        <f>E7*100/D7</f>
        <v>23.166866239346341</v>
      </c>
    </row>
    <row r="8" spans="1:14" ht="56.25" customHeight="1">
      <c r="A8" s="21" t="s">
        <v>2</v>
      </c>
      <c r="B8" s="40">
        <v>4020</v>
      </c>
      <c r="C8" s="325">
        <f>'3. Рух грошових коштів'!C42-C9</f>
        <v>6308</v>
      </c>
      <c r="D8" s="374">
        <f>'3. Рух грошових коштів'!D42</f>
        <v>4713</v>
      </c>
      <c r="E8" s="325">
        <f>'3. Рух грошових коштів'!E42-E9</f>
        <v>5363</v>
      </c>
      <c r="F8" s="326">
        <f t="shared" si="0"/>
        <v>650</v>
      </c>
      <c r="G8" s="327">
        <f>E8*100/D8</f>
        <v>113.79164014428177</v>
      </c>
      <c r="N8" s="11"/>
    </row>
    <row r="9" spans="1:14" ht="56.25" customHeight="1">
      <c r="A9" s="21" t="s">
        <v>30</v>
      </c>
      <c r="B9" s="41">
        <v>4030</v>
      </c>
      <c r="C9" s="319">
        <v>521</v>
      </c>
      <c r="D9" s="374"/>
      <c r="E9" s="374">
        <v>509</v>
      </c>
      <c r="F9" s="326">
        <f t="shared" si="0"/>
        <v>509</v>
      </c>
      <c r="G9" s="327">
        <f>E9*100</f>
        <v>50900</v>
      </c>
      <c r="M9" s="11"/>
    </row>
    <row r="10" spans="1:14" ht="56.25" customHeight="1">
      <c r="A10" s="21" t="s">
        <v>3</v>
      </c>
      <c r="B10" s="40">
        <v>4040</v>
      </c>
      <c r="C10" s="325">
        <f>'3. Рух грошових коштів'!C73</f>
        <v>0</v>
      </c>
      <c r="D10" s="325">
        <v>0</v>
      </c>
      <c r="E10" s="325">
        <f>'3. Рух грошових коштів'!E73</f>
        <v>0</v>
      </c>
      <c r="F10" s="325">
        <f t="shared" ref="F10:F11" si="1">D10-E10</f>
        <v>0</v>
      </c>
      <c r="G10" s="327">
        <f>E10*100</f>
        <v>0</v>
      </c>
    </row>
    <row r="11" spans="1:14" ht="56.25" customHeight="1">
      <c r="A11" s="21" t="s">
        <v>70</v>
      </c>
      <c r="B11" s="41">
        <v>4050</v>
      </c>
      <c r="C11" s="319">
        <v>0</v>
      </c>
      <c r="D11" s="319">
        <v>0</v>
      </c>
      <c r="E11" s="319">
        <v>0</v>
      </c>
      <c r="F11" s="319">
        <f t="shared" si="1"/>
        <v>0</v>
      </c>
      <c r="G11" s="159">
        <v>0</v>
      </c>
    </row>
    <row r="12" spans="1:14">
      <c r="B12" s="10"/>
      <c r="C12" s="10"/>
      <c r="D12" s="10"/>
      <c r="E12" s="10"/>
      <c r="F12" s="10"/>
      <c r="G12" s="10"/>
    </row>
    <row r="13" spans="1:14">
      <c r="B13" s="10"/>
      <c r="C13" s="10"/>
      <c r="D13" s="10"/>
      <c r="E13" s="10"/>
      <c r="F13" s="10"/>
      <c r="G13" s="10"/>
    </row>
    <row r="14" spans="1:14" ht="19.5" customHeight="1">
      <c r="A14" s="12"/>
      <c r="B14" s="10"/>
      <c r="C14" s="10"/>
      <c r="D14" s="10"/>
      <c r="E14" s="10"/>
      <c r="F14" s="10"/>
      <c r="G14" s="10"/>
    </row>
    <row r="15" spans="1:14" ht="20.100000000000001" customHeight="1">
      <c r="A15" s="372" t="s">
        <v>402</v>
      </c>
      <c r="B15" s="94"/>
      <c r="C15" s="449"/>
      <c r="D15" s="449"/>
      <c r="E15" s="10"/>
      <c r="F15" s="373" t="s">
        <v>642</v>
      </c>
      <c r="G15" s="70"/>
    </row>
    <row r="16" spans="1:14" s="24" customFormat="1" ht="19.5" customHeight="1">
      <c r="A16" s="16" t="s">
        <v>390</v>
      </c>
      <c r="C16" s="422" t="s">
        <v>78</v>
      </c>
      <c r="D16" s="422"/>
      <c r="E16" s="10"/>
      <c r="F16" s="422" t="s">
        <v>363</v>
      </c>
      <c r="G16" s="422"/>
    </row>
    <row r="17" spans="1:8">
      <c r="A17" s="25"/>
    </row>
    <row r="18" spans="1:8" ht="35.25" customHeight="1">
      <c r="A18" s="25"/>
    </row>
    <row r="19" spans="1:8" s="90" customFormat="1" ht="102" customHeight="1">
      <c r="A19" s="443"/>
      <c r="B19" s="443"/>
      <c r="C19" s="443"/>
      <c r="D19" s="443"/>
      <c r="E19" s="443"/>
      <c r="F19" s="443"/>
      <c r="G19" s="443"/>
      <c r="H19" s="443"/>
    </row>
    <row r="20" spans="1:8">
      <c r="A20" s="25"/>
    </row>
    <row r="21" spans="1:8">
      <c r="A21" s="25"/>
    </row>
    <row r="22" spans="1:8">
      <c r="A22" s="25"/>
    </row>
    <row r="23" spans="1:8">
      <c r="A23" s="25"/>
    </row>
    <row r="24" spans="1:8">
      <c r="A24" s="25"/>
    </row>
    <row r="25" spans="1:8">
      <c r="A25" s="25"/>
    </row>
    <row r="26" spans="1:8">
      <c r="A26" s="25"/>
    </row>
    <row r="27" spans="1:8">
      <c r="A27" s="25"/>
    </row>
    <row r="28" spans="1:8">
      <c r="A28" s="25"/>
    </row>
    <row r="29" spans="1:8">
      <c r="A29" s="25"/>
    </row>
    <row r="30" spans="1:8">
      <c r="A30" s="25"/>
    </row>
    <row r="31" spans="1:8">
      <c r="A31" s="25"/>
    </row>
    <row r="32" spans="1:8">
      <c r="A32" s="25"/>
    </row>
    <row r="33" spans="1:1">
      <c r="A33" s="25"/>
    </row>
    <row r="34" spans="1:1">
      <c r="A34" s="25"/>
    </row>
    <row r="35" spans="1:1">
      <c r="A35" s="25"/>
    </row>
    <row r="36" spans="1:1">
      <c r="A36" s="25"/>
    </row>
    <row r="37" spans="1:1">
      <c r="A37" s="25"/>
    </row>
    <row r="38" spans="1:1">
      <c r="A38" s="25"/>
    </row>
    <row r="39" spans="1:1">
      <c r="A39" s="25"/>
    </row>
    <row r="40" spans="1:1">
      <c r="A40" s="25"/>
    </row>
    <row r="41" spans="1:1">
      <c r="A41" s="25"/>
    </row>
    <row r="42" spans="1:1">
      <c r="A42" s="25"/>
    </row>
    <row r="43" spans="1:1">
      <c r="A43" s="25"/>
    </row>
    <row r="44" spans="1:1">
      <c r="A44" s="25"/>
    </row>
    <row r="45" spans="1:1">
      <c r="A45" s="25"/>
    </row>
    <row r="46" spans="1:1">
      <c r="A46" s="25"/>
    </row>
    <row r="47" spans="1:1">
      <c r="A47" s="25"/>
    </row>
    <row r="48" spans="1:1">
      <c r="A48" s="25"/>
    </row>
    <row r="49" spans="1:1">
      <c r="A49" s="25"/>
    </row>
    <row r="50" spans="1:1">
      <c r="A50" s="25"/>
    </row>
    <row r="51" spans="1:1">
      <c r="A51" s="25"/>
    </row>
    <row r="52" spans="1:1">
      <c r="A52" s="25"/>
    </row>
    <row r="53" spans="1:1">
      <c r="A53" s="25"/>
    </row>
    <row r="54" spans="1:1">
      <c r="A54" s="25"/>
    </row>
    <row r="55" spans="1:1">
      <c r="A55" s="25"/>
    </row>
    <row r="56" spans="1:1">
      <c r="A56" s="25"/>
    </row>
    <row r="57" spans="1:1">
      <c r="A57" s="25"/>
    </row>
    <row r="58" spans="1:1">
      <c r="A58" s="25"/>
    </row>
    <row r="59" spans="1:1">
      <c r="A59" s="25"/>
    </row>
    <row r="60" spans="1:1">
      <c r="A60" s="25"/>
    </row>
    <row r="61" spans="1:1">
      <c r="A61" s="25"/>
    </row>
    <row r="62" spans="1:1">
      <c r="A62" s="25"/>
    </row>
    <row r="63" spans="1:1">
      <c r="A63" s="25"/>
    </row>
    <row r="64" spans="1:1">
      <c r="A64" s="25"/>
    </row>
    <row r="65" spans="1:1">
      <c r="A65" s="25"/>
    </row>
    <row r="66" spans="1:1">
      <c r="A66" s="25"/>
    </row>
    <row r="67" spans="1:1">
      <c r="A67" s="25"/>
    </row>
    <row r="68" spans="1:1">
      <c r="A68" s="25"/>
    </row>
    <row r="69" spans="1:1">
      <c r="A69" s="25"/>
    </row>
    <row r="70" spans="1:1">
      <c r="A70" s="25"/>
    </row>
    <row r="71" spans="1:1">
      <c r="A71" s="25"/>
    </row>
    <row r="72" spans="1:1">
      <c r="A72" s="25"/>
    </row>
    <row r="73" spans="1:1">
      <c r="A73" s="25"/>
    </row>
    <row r="74" spans="1:1">
      <c r="A74" s="25"/>
    </row>
    <row r="75" spans="1:1">
      <c r="A75" s="25"/>
    </row>
    <row r="76" spans="1:1">
      <c r="A76" s="25"/>
    </row>
    <row r="77" spans="1:1">
      <c r="A77" s="25"/>
    </row>
    <row r="78" spans="1:1">
      <c r="A78" s="25"/>
    </row>
    <row r="79" spans="1:1">
      <c r="A79" s="25"/>
    </row>
    <row r="80" spans="1:1">
      <c r="A80" s="25"/>
    </row>
    <row r="81" spans="1:1">
      <c r="A81" s="25"/>
    </row>
    <row r="82" spans="1:1">
      <c r="A82" s="25"/>
    </row>
    <row r="83" spans="1:1">
      <c r="A83" s="25"/>
    </row>
    <row r="84" spans="1:1">
      <c r="A84" s="25"/>
    </row>
    <row r="85" spans="1:1">
      <c r="A85" s="25"/>
    </row>
    <row r="86" spans="1:1">
      <c r="A86" s="25"/>
    </row>
    <row r="87" spans="1:1">
      <c r="A87" s="25"/>
    </row>
    <row r="88" spans="1:1">
      <c r="A88" s="25"/>
    </row>
    <row r="89" spans="1:1">
      <c r="A89" s="25"/>
    </row>
    <row r="90" spans="1:1">
      <c r="A90" s="25"/>
    </row>
    <row r="91" spans="1:1">
      <c r="A91" s="25"/>
    </row>
    <row r="92" spans="1:1">
      <c r="A92" s="25"/>
    </row>
    <row r="93" spans="1:1">
      <c r="A93" s="25"/>
    </row>
    <row r="94" spans="1:1">
      <c r="A94" s="25"/>
    </row>
    <row r="95" spans="1:1">
      <c r="A95" s="25"/>
    </row>
    <row r="96" spans="1:1">
      <c r="A96" s="25"/>
    </row>
    <row r="97" spans="1:1">
      <c r="A97" s="25"/>
    </row>
    <row r="98" spans="1:1">
      <c r="A98" s="25"/>
    </row>
    <row r="99" spans="1:1">
      <c r="A99" s="25"/>
    </row>
    <row r="100" spans="1:1">
      <c r="A100" s="25"/>
    </row>
    <row r="101" spans="1:1">
      <c r="A101" s="25"/>
    </row>
    <row r="102" spans="1:1">
      <c r="A102" s="25"/>
    </row>
    <row r="103" spans="1:1">
      <c r="A103" s="25"/>
    </row>
    <row r="104" spans="1:1">
      <c r="A104" s="25"/>
    </row>
    <row r="105" spans="1:1">
      <c r="A105" s="25"/>
    </row>
    <row r="106" spans="1:1">
      <c r="A106" s="25"/>
    </row>
    <row r="107" spans="1:1">
      <c r="A107" s="25"/>
    </row>
    <row r="108" spans="1:1">
      <c r="A108" s="25"/>
    </row>
    <row r="109" spans="1:1">
      <c r="A109" s="25"/>
    </row>
    <row r="110" spans="1:1">
      <c r="A110" s="25"/>
    </row>
    <row r="111" spans="1:1">
      <c r="A111" s="25"/>
    </row>
    <row r="112" spans="1:1">
      <c r="A112" s="25"/>
    </row>
    <row r="113" spans="1:1">
      <c r="A113" s="25"/>
    </row>
    <row r="114" spans="1:1">
      <c r="A114" s="25"/>
    </row>
    <row r="115" spans="1:1">
      <c r="A115" s="25"/>
    </row>
    <row r="116" spans="1:1">
      <c r="A116" s="25"/>
    </row>
    <row r="117" spans="1:1">
      <c r="A117" s="25"/>
    </row>
    <row r="118" spans="1:1">
      <c r="A118" s="25"/>
    </row>
    <row r="119" spans="1:1">
      <c r="A119" s="25"/>
    </row>
    <row r="120" spans="1:1">
      <c r="A120" s="25"/>
    </row>
    <row r="121" spans="1:1">
      <c r="A121" s="25"/>
    </row>
    <row r="122" spans="1:1">
      <c r="A122" s="25"/>
    </row>
    <row r="123" spans="1:1">
      <c r="A123" s="25"/>
    </row>
    <row r="124" spans="1:1">
      <c r="A124" s="25"/>
    </row>
    <row r="125" spans="1:1">
      <c r="A125" s="25"/>
    </row>
    <row r="126" spans="1:1">
      <c r="A126" s="25"/>
    </row>
    <row r="127" spans="1:1">
      <c r="A127" s="25"/>
    </row>
    <row r="128" spans="1:1">
      <c r="A128" s="25"/>
    </row>
    <row r="129" spans="1:1">
      <c r="A129" s="25"/>
    </row>
    <row r="130" spans="1:1">
      <c r="A130" s="25"/>
    </row>
    <row r="131" spans="1:1">
      <c r="A131" s="25"/>
    </row>
    <row r="132" spans="1:1">
      <c r="A132" s="25"/>
    </row>
    <row r="133" spans="1:1">
      <c r="A133" s="25"/>
    </row>
    <row r="134" spans="1:1">
      <c r="A134" s="25"/>
    </row>
    <row r="135" spans="1:1">
      <c r="A135" s="25"/>
    </row>
    <row r="136" spans="1:1">
      <c r="A136" s="25"/>
    </row>
    <row r="137" spans="1:1">
      <c r="A137" s="25"/>
    </row>
    <row r="138" spans="1:1">
      <c r="A138" s="25"/>
    </row>
    <row r="139" spans="1:1">
      <c r="A139" s="25"/>
    </row>
    <row r="140" spans="1:1">
      <c r="A140" s="25"/>
    </row>
    <row r="141" spans="1:1">
      <c r="A141" s="25"/>
    </row>
    <row r="142" spans="1:1">
      <c r="A142" s="25"/>
    </row>
    <row r="143" spans="1:1">
      <c r="A143" s="25"/>
    </row>
    <row r="144" spans="1:1">
      <c r="A144" s="25"/>
    </row>
    <row r="145" spans="1:1">
      <c r="A145" s="25"/>
    </row>
    <row r="146" spans="1:1">
      <c r="A146" s="25"/>
    </row>
    <row r="147" spans="1:1">
      <c r="A147" s="25"/>
    </row>
    <row r="148" spans="1:1">
      <c r="A148" s="25"/>
    </row>
    <row r="149" spans="1:1">
      <c r="A149" s="25"/>
    </row>
    <row r="150" spans="1:1">
      <c r="A150" s="25"/>
    </row>
    <row r="151" spans="1:1">
      <c r="A151" s="25"/>
    </row>
    <row r="152" spans="1:1">
      <c r="A152" s="25"/>
    </row>
    <row r="153" spans="1:1">
      <c r="A153" s="25"/>
    </row>
    <row r="154" spans="1:1">
      <c r="A154" s="25"/>
    </row>
    <row r="155" spans="1:1">
      <c r="A155" s="25"/>
    </row>
    <row r="156" spans="1:1">
      <c r="A156" s="25"/>
    </row>
    <row r="157" spans="1:1">
      <c r="A157" s="25"/>
    </row>
    <row r="158" spans="1:1">
      <c r="A158" s="25"/>
    </row>
    <row r="159" spans="1:1">
      <c r="A159" s="25"/>
    </row>
    <row r="160" spans="1:1">
      <c r="A160" s="25"/>
    </row>
    <row r="161" spans="1:1">
      <c r="A161" s="25"/>
    </row>
    <row r="162" spans="1:1">
      <c r="A162" s="25"/>
    </row>
    <row r="163" spans="1:1">
      <c r="A163" s="25"/>
    </row>
    <row r="164" spans="1:1">
      <c r="A164" s="25"/>
    </row>
    <row r="165" spans="1:1">
      <c r="A165" s="25"/>
    </row>
    <row r="166" spans="1:1">
      <c r="A166" s="25"/>
    </row>
    <row r="167" spans="1:1">
      <c r="A167" s="25"/>
    </row>
    <row r="168" spans="1:1">
      <c r="A168" s="25"/>
    </row>
    <row r="169" spans="1:1">
      <c r="A169" s="25"/>
    </row>
    <row r="170" spans="1:1">
      <c r="A170" s="25"/>
    </row>
    <row r="171" spans="1:1">
      <c r="A171" s="25"/>
    </row>
    <row r="172" spans="1:1">
      <c r="A172" s="25"/>
    </row>
    <row r="173" spans="1:1">
      <c r="A173" s="25"/>
    </row>
    <row r="174" spans="1:1">
      <c r="A174" s="25"/>
    </row>
    <row r="175" spans="1:1">
      <c r="A175" s="25"/>
    </row>
    <row r="176" spans="1:1">
      <c r="A176" s="25"/>
    </row>
    <row r="177" spans="1:1">
      <c r="A177" s="25"/>
    </row>
    <row r="178" spans="1:1">
      <c r="A178" s="25"/>
    </row>
    <row r="179" spans="1:1">
      <c r="A179" s="25"/>
    </row>
    <row r="180" spans="1:1">
      <c r="A180" s="25"/>
    </row>
    <row r="181" spans="1:1">
      <c r="A181" s="25"/>
    </row>
    <row r="182" spans="1:1">
      <c r="A182" s="25"/>
    </row>
  </sheetData>
  <mergeCells count="10">
    <mergeCell ref="A19:H19"/>
    <mergeCell ref="F16:G16"/>
    <mergeCell ref="A3:A4"/>
    <mergeCell ref="A1:G1"/>
    <mergeCell ref="B3:B4"/>
    <mergeCell ref="A2:G2"/>
    <mergeCell ref="C3:C4"/>
    <mergeCell ref="D3:G3"/>
    <mergeCell ref="C16:D16"/>
    <mergeCell ref="C15:D15"/>
  </mergeCells>
  <phoneticPr fontId="0" type="noConversion"/>
  <pageMargins left="0.78740157480314965" right="0.39370078740157483" top="0.59055118110236227" bottom="0.59055118110236227" header="0.27559055118110237" footer="0.31496062992125984"/>
  <pageSetup paperSize="9" scale="50" firstPageNumber="9" orientation="portrait" useFirstPageNumber="1" copies="3" r:id="rId1"/>
  <headerFooter alignWithMargins="0"/>
  <ignoredErrors>
    <ignoredError sqref="B7" numberStoredAsText="1"/>
  </ignoredErrors>
</worksheet>
</file>

<file path=xl/worksheets/sheet6.xml><?xml version="1.0" encoding="utf-8"?>
<worksheet xmlns="http://schemas.openxmlformats.org/spreadsheetml/2006/main" xmlns:r="http://schemas.openxmlformats.org/officeDocument/2006/relationships">
  <sheetPr enableFormatConditionsCalculation="0">
    <tabColor rgb="FFFFFF00"/>
  </sheetPr>
  <dimension ref="A1:I28"/>
  <sheetViews>
    <sheetView view="pageBreakPreview" topLeftCell="A12" zoomScale="75" zoomScaleNormal="75" zoomScaleSheetLayoutView="70" workbookViewId="0">
      <selection activeCell="E11" sqref="E11"/>
    </sheetView>
  </sheetViews>
  <sheetFormatPr defaultRowHeight="20.25"/>
  <cols>
    <col min="1" max="1" width="87.28515625" style="42" customWidth="1"/>
    <col min="2" max="2" width="16.5703125" style="42" customWidth="1"/>
    <col min="3" max="3" width="19.7109375" style="42" customWidth="1"/>
    <col min="4" max="4" width="20" style="42" customWidth="1"/>
    <col min="5" max="5" width="19.7109375" style="291" customWidth="1"/>
    <col min="6" max="6" width="39" style="42" customWidth="1"/>
    <col min="7" max="7" width="9.5703125" style="42" customWidth="1"/>
    <col min="8" max="8" width="9.140625" style="42"/>
    <col min="9" max="9" width="27.140625" style="42" customWidth="1"/>
    <col min="10" max="16384" width="9.140625" style="42"/>
  </cols>
  <sheetData>
    <row r="1" spans="1:6" ht="19.5" customHeight="1">
      <c r="A1" s="454" t="s">
        <v>379</v>
      </c>
      <c r="B1" s="454"/>
      <c r="C1" s="454"/>
      <c r="D1" s="454"/>
      <c r="E1" s="454"/>
      <c r="F1" s="454"/>
    </row>
    <row r="2" spans="1:6" ht="24" customHeight="1"/>
    <row r="3" spans="1:6" ht="36" customHeight="1">
      <c r="A3" s="455" t="s">
        <v>286</v>
      </c>
      <c r="B3" s="455" t="s">
        <v>0</v>
      </c>
      <c r="C3" s="455" t="s">
        <v>100</v>
      </c>
      <c r="D3" s="447" t="s">
        <v>357</v>
      </c>
      <c r="E3" s="457" t="s">
        <v>355</v>
      </c>
      <c r="F3" s="455" t="s">
        <v>323</v>
      </c>
    </row>
    <row r="4" spans="1:6" ht="36" customHeight="1">
      <c r="A4" s="456"/>
      <c r="B4" s="456"/>
      <c r="C4" s="456"/>
      <c r="D4" s="447"/>
      <c r="E4" s="458"/>
      <c r="F4" s="456"/>
    </row>
    <row r="5" spans="1:6" ht="20.25" customHeight="1">
      <c r="A5" s="43">
        <v>1</v>
      </c>
      <c r="B5" s="43">
        <v>2</v>
      </c>
      <c r="C5" s="43">
        <v>3</v>
      </c>
      <c r="D5" s="43">
        <v>4</v>
      </c>
      <c r="E5" s="292">
        <v>5</v>
      </c>
      <c r="F5" s="43">
        <v>6</v>
      </c>
    </row>
    <row r="6" spans="1:6">
      <c r="A6" s="450" t="s">
        <v>189</v>
      </c>
      <c r="B6" s="451"/>
      <c r="C6" s="451"/>
      <c r="D6" s="451"/>
      <c r="E6" s="451"/>
      <c r="F6" s="452"/>
    </row>
    <row r="7" spans="1:6" ht="63.75" customHeight="1">
      <c r="A7" s="21" t="s">
        <v>351</v>
      </c>
      <c r="B7" s="17">
        <v>5000</v>
      </c>
      <c r="C7" s="44" t="s">
        <v>343</v>
      </c>
      <c r="D7" s="303">
        <f>'1. Фін результат'!C21/'1. Фін результат'!C8</f>
        <v>1</v>
      </c>
      <c r="E7" s="304">
        <f>'1. Фін результат'!E21/'1. Фін результат'!E8</f>
        <v>1</v>
      </c>
      <c r="F7" s="46"/>
    </row>
    <row r="8" spans="1:6" ht="63.75" customHeight="1">
      <c r="A8" s="21" t="s">
        <v>352</v>
      </c>
      <c r="B8" s="17">
        <v>5010</v>
      </c>
      <c r="C8" s="44" t="s">
        <v>343</v>
      </c>
      <c r="D8" s="303">
        <f>'1. Фін результат'!C136/'1. Фін результат'!C8</f>
        <v>-43.804054054054056</v>
      </c>
      <c r="E8" s="304">
        <f>'1. Фін результат'!E136/'1. Фін результат'!E8</f>
        <v>-289.130081300813</v>
      </c>
      <c r="F8" s="46"/>
    </row>
    <row r="9" spans="1:6" ht="60.75" customHeight="1">
      <c r="A9" s="47" t="s">
        <v>330</v>
      </c>
      <c r="B9" s="17">
        <v>5020</v>
      </c>
      <c r="C9" s="44" t="s">
        <v>343</v>
      </c>
      <c r="D9" s="304">
        <f>'1. Фін результат'!C120/'фінплан - зведені показники'!C67</f>
        <v>-6.3286480671507633E-2</v>
      </c>
      <c r="E9" s="304">
        <f>'1. Фін результат'!E120/'фінплан - зведені показники'!E67</f>
        <v>-3.9481107186248823E-2</v>
      </c>
      <c r="F9" s="46" t="s">
        <v>344</v>
      </c>
    </row>
    <row r="10" spans="1:6" ht="63.75" customHeight="1">
      <c r="A10" s="47" t="s">
        <v>331</v>
      </c>
      <c r="B10" s="17">
        <v>5030</v>
      </c>
      <c r="C10" s="44" t="s">
        <v>343</v>
      </c>
      <c r="D10" s="304">
        <f>'1. Фін результат'!C120/'фінплан - зведені показники'!C73</f>
        <v>-6.3422757861528165E-2</v>
      </c>
      <c r="E10" s="304">
        <f>'1. Фін результат'!E120/'фінплан - зведені показники'!E73</f>
        <v>-4.004349200718698E-2</v>
      </c>
      <c r="F10" s="46"/>
    </row>
    <row r="11" spans="1:6" ht="68.25" customHeight="1">
      <c r="A11" s="47" t="s">
        <v>332</v>
      </c>
      <c r="B11" s="17">
        <v>5040</v>
      </c>
      <c r="C11" s="44" t="s">
        <v>101</v>
      </c>
      <c r="D11" s="303">
        <f>'1. Фін результат'!C120/'1. Фін результат'!C8</f>
        <v>-30.20945945945946</v>
      </c>
      <c r="E11" s="304">
        <f>'1. Фін результат'!E120/'1. Фін результат'!E8</f>
        <v>-211.08943089430895</v>
      </c>
      <c r="F11" s="46" t="s">
        <v>345</v>
      </c>
    </row>
    <row r="12" spans="1:6" ht="42.75" customHeight="1">
      <c r="A12" s="450" t="s">
        <v>191</v>
      </c>
      <c r="B12" s="451"/>
      <c r="C12" s="451"/>
      <c r="D12" s="451"/>
      <c r="E12" s="451"/>
      <c r="F12" s="452"/>
    </row>
    <row r="13" spans="1:6" ht="82.5" customHeight="1">
      <c r="A13" s="46" t="s">
        <v>337</v>
      </c>
      <c r="B13" s="17">
        <v>5100</v>
      </c>
      <c r="C13" s="44"/>
      <c r="D13" s="305">
        <f>'фінплан - зведені показники'!C68+'фінплан - зведені показники'!C69/'1. Фін результат'!C136</f>
        <v>368.98796853308653</v>
      </c>
      <c r="E13" s="305">
        <f>'фінплан - зведені показники'!E68+'фінплан - зведені показники'!E69/'1. Фін результат'!E136</f>
        <v>368.75066782892333</v>
      </c>
      <c r="F13" s="46"/>
    </row>
    <row r="14" spans="1:6" ht="128.25" customHeight="1">
      <c r="A14" s="46" t="s">
        <v>333</v>
      </c>
      <c r="B14" s="17">
        <v>5110</v>
      </c>
      <c r="C14" s="44" t="s">
        <v>176</v>
      </c>
      <c r="D14" s="305">
        <f>'фінплан - зведені показники'!C73/('фінплан - зведені показники'!C68+'фінплан - зведені показники'!C69)</f>
        <v>464.39525691699606</v>
      </c>
      <c r="E14" s="305">
        <f>'фінплан - зведені показники'!E73/('фінплан - зведені показники'!E68+'фінплан - зведені показники'!E69)</f>
        <v>70.20300996102209</v>
      </c>
      <c r="F14" s="46" t="s">
        <v>346</v>
      </c>
    </row>
    <row r="15" spans="1:6" ht="171.75" customHeight="1">
      <c r="A15" s="46" t="s">
        <v>334</v>
      </c>
      <c r="B15" s="17">
        <v>5120</v>
      </c>
      <c r="C15" s="44" t="s">
        <v>176</v>
      </c>
      <c r="D15" s="302">
        <f>'фінплан - зведені показники'!C65/'фінплан - зведені показники'!C69</f>
        <v>38.766666666666666</v>
      </c>
      <c r="E15" s="302">
        <f>'фінплан - зведені показники'!E65/'фінплан - зведені показники'!E69</f>
        <v>1.3146498251945415</v>
      </c>
      <c r="F15" s="46" t="s">
        <v>348</v>
      </c>
    </row>
    <row r="16" spans="1:6" ht="36.75" customHeight="1">
      <c r="A16" s="450" t="s">
        <v>190</v>
      </c>
      <c r="B16" s="451"/>
      <c r="C16" s="451"/>
      <c r="D16" s="451"/>
      <c r="E16" s="451"/>
      <c r="F16" s="452"/>
    </row>
    <row r="17" spans="1:9" ht="48" customHeight="1">
      <c r="A17" s="46" t="s">
        <v>335</v>
      </c>
      <c r="B17" s="17">
        <v>5200</v>
      </c>
      <c r="C17" s="44"/>
      <c r="D17" s="303">
        <f>'4. Кап. інвестиції'!C6/'1. Фін результат'!C143</f>
        <v>11.954758961681089</v>
      </c>
      <c r="E17" s="304">
        <f>'4. Кап. інвестиції'!E6/'1. Фін результат'!E143</f>
        <v>3.1937905844155843</v>
      </c>
      <c r="F17" s="46"/>
    </row>
    <row r="18" spans="1:9" ht="81" customHeight="1">
      <c r="A18" s="46" t="s">
        <v>364</v>
      </c>
      <c r="B18" s="17">
        <v>5210</v>
      </c>
      <c r="C18" s="44"/>
      <c r="D18" s="303">
        <f>'4. Кап. інвестиції'!C6/'1. Фін результат'!C8</f>
        <v>65.347297297297303</v>
      </c>
      <c r="E18" s="304">
        <f>'4. Кап. інвестиції'!E6/'1. Фін результат'!E8</f>
        <v>127.95934959349593</v>
      </c>
      <c r="F18" s="46"/>
    </row>
    <row r="19" spans="1:9" ht="65.25" customHeight="1">
      <c r="A19" s="46" t="s">
        <v>353</v>
      </c>
      <c r="B19" s="17">
        <v>5220</v>
      </c>
      <c r="C19" s="44" t="s">
        <v>343</v>
      </c>
      <c r="D19" s="304">
        <v>0.105</v>
      </c>
      <c r="E19" s="304">
        <f>20788/126871</f>
        <v>0.16385147117938695</v>
      </c>
      <c r="F19" s="46" t="s">
        <v>347</v>
      </c>
    </row>
    <row r="20" spans="1:9" ht="35.25" customHeight="1">
      <c r="A20" s="450" t="s">
        <v>336</v>
      </c>
      <c r="B20" s="451"/>
      <c r="C20" s="451"/>
      <c r="D20" s="451"/>
      <c r="E20" s="451"/>
      <c r="F20" s="452"/>
    </row>
    <row r="21" spans="1:9" ht="110.25" customHeight="1">
      <c r="A21" s="47" t="s">
        <v>354</v>
      </c>
      <c r="B21" s="17">
        <v>5300</v>
      </c>
      <c r="C21" s="44"/>
      <c r="D21" s="45"/>
      <c r="E21" s="293"/>
      <c r="F21" s="48"/>
    </row>
    <row r="23" spans="1:9" s="10" customFormat="1" ht="20.100000000000001" customHeight="1">
      <c r="A23" s="372" t="s">
        <v>402</v>
      </c>
      <c r="B23" s="94"/>
      <c r="C23" s="70"/>
      <c r="E23" s="453" t="s">
        <v>642</v>
      </c>
      <c r="F23" s="453"/>
    </row>
    <row r="24" spans="1:9" s="24" customFormat="1" ht="20.100000000000001" customHeight="1">
      <c r="A24" s="16" t="s">
        <v>391</v>
      </c>
      <c r="B24" s="422" t="s">
        <v>78</v>
      </c>
      <c r="C24" s="422"/>
      <c r="D24" s="422"/>
      <c r="E24" s="422" t="s">
        <v>327</v>
      </c>
      <c r="F24" s="422"/>
      <c r="G24" s="10"/>
    </row>
    <row r="26" spans="1:9" ht="53.25" customHeight="1">
      <c r="I26" s="9"/>
    </row>
    <row r="27" spans="1:9" s="90" customFormat="1" ht="102" customHeight="1">
      <c r="A27" s="443"/>
      <c r="B27" s="443"/>
      <c r="C27" s="443"/>
      <c r="D27" s="443"/>
      <c r="E27" s="443"/>
      <c r="F27" s="443"/>
      <c r="G27" s="443"/>
      <c r="H27" s="443"/>
    </row>
    <row r="28" spans="1:9" s="24" customFormat="1">
      <c r="A28" s="16"/>
      <c r="B28" s="10"/>
      <c r="C28" s="422"/>
      <c r="D28" s="422"/>
      <c r="E28" s="209"/>
      <c r="F28" s="13"/>
    </row>
  </sheetData>
  <mergeCells count="16">
    <mergeCell ref="B24:D24"/>
    <mergeCell ref="E24:F24"/>
    <mergeCell ref="A20:F20"/>
    <mergeCell ref="A27:H27"/>
    <mergeCell ref="C28:D28"/>
    <mergeCell ref="A6:F6"/>
    <mergeCell ref="A12:F12"/>
    <mergeCell ref="E23:F23"/>
    <mergeCell ref="A1:F1"/>
    <mergeCell ref="A3:A4"/>
    <mergeCell ref="B3:B4"/>
    <mergeCell ref="C3:C4"/>
    <mergeCell ref="F3:F4"/>
    <mergeCell ref="D3:D4"/>
    <mergeCell ref="E3:E4"/>
    <mergeCell ref="A16:F16"/>
  </mergeCells>
  <phoneticPr fontId="3" type="noConversion"/>
  <pageMargins left="0.78740157480314965" right="0.39370078740157483" top="0.59055118110236227" bottom="0.59055118110236227" header="0.11811023622047245" footer="0.31496062992125984"/>
  <pageSetup paperSize="9" scale="43" orientation="portrait"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rgb="FFFFFF00"/>
    <pageSetUpPr fitToPage="1"/>
  </sheetPr>
  <dimension ref="A1:O87"/>
  <sheetViews>
    <sheetView topLeftCell="A18" zoomScale="70" zoomScaleNormal="70" zoomScaleSheetLayoutView="70" workbookViewId="0">
      <selection activeCell="J34" sqref="J34:K35"/>
    </sheetView>
  </sheetViews>
  <sheetFormatPr defaultRowHeight="20.25" outlineLevelRow="1"/>
  <cols>
    <col min="1" max="1" width="44.85546875" style="24" customWidth="1"/>
    <col min="2" max="2" width="13.5703125" style="13" customWidth="1"/>
    <col min="3" max="3" width="18.5703125" style="24" customWidth="1"/>
    <col min="4" max="4" width="16.140625" style="24" customWidth="1"/>
    <col min="5" max="5" width="15.42578125" style="24" customWidth="1"/>
    <col min="6" max="6" width="16.5703125" style="24" customWidth="1"/>
    <col min="7" max="7" width="15.28515625" style="24" customWidth="1"/>
    <col min="8" max="8" width="16.5703125" style="24" customWidth="1"/>
    <col min="9" max="9" width="16.140625" style="24" customWidth="1"/>
    <col min="10" max="10" width="16.42578125" style="160" customWidth="1"/>
    <col min="11" max="11" width="16.5703125" style="160" customWidth="1"/>
    <col min="12" max="12" width="16.85546875" style="24" customWidth="1"/>
    <col min="13" max="15" width="16.7109375" style="24" customWidth="1"/>
    <col min="16" max="16384" width="9.140625" style="24"/>
  </cols>
  <sheetData>
    <row r="1" spans="1:15" ht="18.75" hidden="1" customHeight="1" outlineLevel="1">
      <c r="N1" s="460" t="s">
        <v>240</v>
      </c>
      <c r="O1" s="460"/>
    </row>
    <row r="2" spans="1:15" hidden="1" outlineLevel="1">
      <c r="N2" s="460" t="s">
        <v>260</v>
      </c>
      <c r="O2" s="460"/>
    </row>
    <row r="3" spans="1:15" collapsed="1">
      <c r="A3" s="461" t="s">
        <v>639</v>
      </c>
      <c r="B3" s="461"/>
      <c r="C3" s="461"/>
      <c r="D3" s="461"/>
      <c r="E3" s="461"/>
      <c r="F3" s="461"/>
      <c r="G3" s="461"/>
      <c r="H3" s="461"/>
      <c r="I3" s="461"/>
      <c r="J3" s="461"/>
      <c r="K3" s="461"/>
      <c r="L3" s="461"/>
      <c r="M3" s="461"/>
      <c r="N3" s="461"/>
      <c r="O3" s="461"/>
    </row>
    <row r="4" spans="1:15" ht="3.75" customHeight="1">
      <c r="A4" s="461"/>
      <c r="B4" s="461"/>
      <c r="C4" s="461"/>
      <c r="D4" s="461"/>
      <c r="E4" s="461"/>
      <c r="F4" s="461"/>
      <c r="G4" s="461"/>
      <c r="H4" s="461"/>
      <c r="I4" s="461"/>
      <c r="J4" s="461"/>
      <c r="K4" s="461"/>
      <c r="L4" s="461"/>
      <c r="M4" s="461"/>
      <c r="N4" s="461"/>
      <c r="O4" s="461"/>
    </row>
    <row r="5" spans="1:15">
      <c r="A5" s="422" t="s">
        <v>495</v>
      </c>
      <c r="B5" s="422"/>
      <c r="C5" s="422"/>
      <c r="D5" s="422"/>
      <c r="E5" s="422"/>
      <c r="F5" s="422"/>
      <c r="G5" s="422"/>
      <c r="H5" s="422"/>
      <c r="I5" s="422"/>
      <c r="J5" s="422"/>
      <c r="K5" s="422"/>
      <c r="L5" s="422"/>
      <c r="M5" s="422"/>
      <c r="N5" s="422"/>
      <c r="O5" s="422"/>
    </row>
    <row r="6" spans="1:15" ht="16.5" customHeight="1">
      <c r="A6" s="422" t="s">
        <v>134</v>
      </c>
      <c r="B6" s="422"/>
      <c r="C6" s="422"/>
      <c r="D6" s="422"/>
      <c r="E6" s="422"/>
      <c r="F6" s="422"/>
      <c r="G6" s="422"/>
      <c r="H6" s="422"/>
      <c r="I6" s="422"/>
      <c r="J6" s="422"/>
      <c r="K6" s="422"/>
      <c r="L6" s="422"/>
      <c r="M6" s="422"/>
      <c r="N6" s="422"/>
      <c r="O6" s="422"/>
    </row>
    <row r="7" spans="1:15" ht="24.95" customHeight="1">
      <c r="A7" s="446" t="s">
        <v>380</v>
      </c>
      <c r="B7" s="446"/>
      <c r="C7" s="446"/>
      <c r="D7" s="446"/>
      <c r="E7" s="446"/>
      <c r="F7" s="446"/>
      <c r="G7" s="446"/>
      <c r="H7" s="446"/>
      <c r="I7" s="446"/>
      <c r="J7" s="446"/>
      <c r="K7" s="446"/>
      <c r="L7" s="446"/>
      <c r="M7" s="446"/>
      <c r="N7" s="446"/>
      <c r="O7" s="446"/>
    </row>
    <row r="8" spans="1:15" ht="9" customHeight="1">
      <c r="A8" s="23"/>
      <c r="B8" s="23"/>
      <c r="C8" s="23"/>
      <c r="D8" s="23"/>
      <c r="E8" s="23"/>
      <c r="F8" s="23"/>
      <c r="G8" s="23"/>
      <c r="H8" s="23"/>
      <c r="I8" s="23"/>
      <c r="J8" s="278"/>
      <c r="K8" s="278"/>
      <c r="L8" s="23"/>
      <c r="M8" s="23"/>
      <c r="N8" s="23"/>
      <c r="O8" s="23"/>
    </row>
    <row r="9" spans="1:15" ht="181.5" customHeight="1">
      <c r="A9" s="462" t="s">
        <v>691</v>
      </c>
      <c r="B9" s="463"/>
      <c r="C9" s="463"/>
      <c r="D9" s="463"/>
      <c r="E9" s="463"/>
      <c r="F9" s="463"/>
      <c r="G9" s="463"/>
      <c r="H9" s="463"/>
      <c r="I9" s="463"/>
      <c r="J9" s="463"/>
      <c r="K9" s="463"/>
      <c r="L9" s="463"/>
      <c r="M9" s="463"/>
      <c r="N9" s="463"/>
      <c r="O9" s="463"/>
    </row>
    <row r="10" spans="1:15" ht="16.5" customHeight="1">
      <c r="B10" s="24"/>
      <c r="C10" s="470"/>
      <c r="D10" s="470"/>
    </row>
    <row r="11" spans="1:15" s="10" customFormat="1" ht="40.5" customHeight="1">
      <c r="A11" s="17" t="s">
        <v>286</v>
      </c>
      <c r="B11" s="447" t="s">
        <v>136</v>
      </c>
      <c r="C11" s="447"/>
      <c r="D11" s="447" t="s">
        <v>31</v>
      </c>
      <c r="E11" s="447"/>
      <c r="F11" s="447" t="s">
        <v>324</v>
      </c>
      <c r="G11" s="447"/>
      <c r="H11" s="447" t="s">
        <v>325</v>
      </c>
      <c r="I11" s="447"/>
      <c r="J11" s="466" t="s">
        <v>326</v>
      </c>
      <c r="K11" s="466"/>
      <c r="L11" s="447" t="s">
        <v>293</v>
      </c>
      <c r="M11" s="447"/>
      <c r="N11" s="447" t="s">
        <v>294</v>
      </c>
      <c r="O11" s="447"/>
    </row>
    <row r="12" spans="1:15" s="10" customFormat="1" ht="17.25" customHeight="1">
      <c r="A12" s="17">
        <v>1</v>
      </c>
      <c r="B12" s="464">
        <v>2</v>
      </c>
      <c r="C12" s="465"/>
      <c r="D12" s="464">
        <v>3</v>
      </c>
      <c r="E12" s="465"/>
      <c r="F12" s="464">
        <v>4</v>
      </c>
      <c r="G12" s="465"/>
      <c r="H12" s="464">
        <v>5</v>
      </c>
      <c r="I12" s="465"/>
      <c r="J12" s="468">
        <v>6</v>
      </c>
      <c r="K12" s="469"/>
      <c r="L12" s="464">
        <v>7</v>
      </c>
      <c r="M12" s="465"/>
      <c r="N12" s="447">
        <v>8</v>
      </c>
      <c r="O12" s="447"/>
    </row>
    <row r="13" spans="1:15" s="10" customFormat="1" ht="31.5" customHeight="1">
      <c r="A13" s="505" t="s">
        <v>135</v>
      </c>
      <c r="B13" s="506"/>
      <c r="C13" s="506"/>
      <c r="D13" s="506"/>
      <c r="E13" s="506"/>
      <c r="F13" s="506"/>
      <c r="G13" s="506"/>
      <c r="H13" s="506"/>
      <c r="I13" s="506"/>
      <c r="J13" s="506"/>
      <c r="K13" s="506"/>
      <c r="L13" s="506"/>
      <c r="M13" s="506"/>
      <c r="N13" s="506"/>
      <c r="O13" s="507"/>
    </row>
    <row r="14" spans="1:15" s="10" customFormat="1" ht="20.100000000000001" customHeight="1">
      <c r="A14" s="240" t="s">
        <v>295</v>
      </c>
      <c r="B14" s="466">
        <v>30</v>
      </c>
      <c r="C14" s="466"/>
      <c r="D14" s="459">
        <v>33</v>
      </c>
      <c r="E14" s="459"/>
      <c r="F14" s="459">
        <v>27</v>
      </c>
      <c r="G14" s="459"/>
      <c r="H14" s="459">
        <v>27</v>
      </c>
      <c r="I14" s="459"/>
      <c r="J14" s="459">
        <v>28</v>
      </c>
      <c r="K14" s="459"/>
      <c r="L14" s="467">
        <f>J14-H14</f>
        <v>1</v>
      </c>
      <c r="M14" s="467"/>
      <c r="N14" s="508">
        <f>J14/H14*100</f>
        <v>103.7037037037037</v>
      </c>
      <c r="O14" s="508"/>
    </row>
    <row r="15" spans="1:15" s="10" customFormat="1" ht="20.100000000000001" customHeight="1">
      <c r="A15" s="240" t="s">
        <v>296</v>
      </c>
      <c r="B15" s="466">
        <v>13</v>
      </c>
      <c r="C15" s="466"/>
      <c r="D15" s="459">
        <v>13</v>
      </c>
      <c r="E15" s="459"/>
      <c r="F15" s="459">
        <v>5</v>
      </c>
      <c r="G15" s="459"/>
      <c r="H15" s="459">
        <v>5</v>
      </c>
      <c r="I15" s="459"/>
      <c r="J15" s="459">
        <v>5</v>
      </c>
      <c r="K15" s="459"/>
      <c r="L15" s="467">
        <f t="shared" ref="L15:L19" si="0">J15-H15</f>
        <v>0</v>
      </c>
      <c r="M15" s="467"/>
      <c r="N15" s="508">
        <f>J15/H15*100</f>
        <v>100</v>
      </c>
      <c r="O15" s="508"/>
    </row>
    <row r="16" spans="1:15" s="10" customFormat="1" ht="20.100000000000001" customHeight="1">
      <c r="A16" s="240" t="s">
        <v>297</v>
      </c>
      <c r="B16" s="466">
        <v>27</v>
      </c>
      <c r="C16" s="466"/>
      <c r="D16" s="459">
        <v>25</v>
      </c>
      <c r="E16" s="459"/>
      <c r="F16" s="459">
        <v>27</v>
      </c>
      <c r="G16" s="459"/>
      <c r="H16" s="459">
        <v>27</v>
      </c>
      <c r="I16" s="459"/>
      <c r="J16" s="459">
        <v>21</v>
      </c>
      <c r="K16" s="459"/>
      <c r="L16" s="467">
        <f t="shared" si="0"/>
        <v>-6</v>
      </c>
      <c r="M16" s="467"/>
      <c r="N16" s="508">
        <f>J16/H16*100</f>
        <v>77.777777777777786</v>
      </c>
      <c r="O16" s="508"/>
    </row>
    <row r="17" spans="1:15" s="10" customFormat="1" ht="20.100000000000001" customHeight="1">
      <c r="A17" s="240" t="s">
        <v>298</v>
      </c>
      <c r="B17" s="466">
        <v>1</v>
      </c>
      <c r="C17" s="466"/>
      <c r="D17" s="459">
        <v>1</v>
      </c>
      <c r="E17" s="459"/>
      <c r="F17" s="459">
        <v>7</v>
      </c>
      <c r="G17" s="459"/>
      <c r="H17" s="459">
        <v>7</v>
      </c>
      <c r="I17" s="459"/>
      <c r="J17" s="459">
        <v>4</v>
      </c>
      <c r="K17" s="459"/>
      <c r="L17" s="467">
        <f t="shared" si="0"/>
        <v>-3</v>
      </c>
      <c r="M17" s="467"/>
      <c r="N17" s="509">
        <f>J17*100</f>
        <v>400</v>
      </c>
      <c r="O17" s="510"/>
    </row>
    <row r="18" spans="1:15" s="10" customFormat="1" ht="20.100000000000001" customHeight="1">
      <c r="A18" s="240" t="s">
        <v>299</v>
      </c>
      <c r="B18" s="466">
        <v>22</v>
      </c>
      <c r="C18" s="466"/>
      <c r="D18" s="459">
        <v>15</v>
      </c>
      <c r="E18" s="459"/>
      <c r="F18" s="459">
        <v>16</v>
      </c>
      <c r="G18" s="459"/>
      <c r="H18" s="459">
        <v>16</v>
      </c>
      <c r="I18" s="459"/>
      <c r="J18" s="459">
        <v>12</v>
      </c>
      <c r="K18" s="459"/>
      <c r="L18" s="467">
        <f t="shared" si="0"/>
        <v>-4</v>
      </c>
      <c r="M18" s="467"/>
      <c r="N18" s="508">
        <f>J18/H18*100</f>
        <v>75</v>
      </c>
      <c r="O18" s="508"/>
    </row>
    <row r="19" spans="1:15" s="10" customFormat="1" ht="20.100000000000001" customHeight="1">
      <c r="A19" s="240" t="s">
        <v>300</v>
      </c>
      <c r="B19" s="466">
        <v>67</v>
      </c>
      <c r="C19" s="466"/>
      <c r="D19" s="459">
        <v>70</v>
      </c>
      <c r="E19" s="459"/>
      <c r="F19" s="459">
        <v>57</v>
      </c>
      <c r="G19" s="459"/>
      <c r="H19" s="459">
        <v>57</v>
      </c>
      <c r="I19" s="459"/>
      <c r="J19" s="459">
        <v>50</v>
      </c>
      <c r="K19" s="459"/>
      <c r="L19" s="467">
        <f t="shared" si="0"/>
        <v>-7</v>
      </c>
      <c r="M19" s="467"/>
      <c r="N19" s="508">
        <f>J19/H19*100</f>
        <v>87.719298245614027</v>
      </c>
      <c r="O19" s="508"/>
    </row>
    <row r="20" spans="1:15" s="10" customFormat="1" ht="27.75" customHeight="1">
      <c r="A20" s="511" t="s">
        <v>366</v>
      </c>
      <c r="B20" s="512"/>
      <c r="C20" s="512"/>
      <c r="D20" s="512"/>
      <c r="E20" s="512"/>
      <c r="F20" s="512"/>
      <c r="G20" s="512"/>
      <c r="H20" s="512"/>
      <c r="I20" s="512"/>
      <c r="J20" s="512"/>
      <c r="K20" s="512"/>
      <c r="L20" s="512"/>
      <c r="M20" s="512"/>
      <c r="N20" s="512"/>
      <c r="O20" s="513"/>
    </row>
    <row r="21" spans="1:15" s="10" customFormat="1" ht="20.100000000000001" customHeight="1">
      <c r="A21" s="240" t="s">
        <v>302</v>
      </c>
      <c r="B21" s="466">
        <v>302</v>
      </c>
      <c r="C21" s="466"/>
      <c r="D21" s="459">
        <v>424</v>
      </c>
      <c r="E21" s="459"/>
      <c r="F21" s="459">
        <v>420</v>
      </c>
      <c r="G21" s="459"/>
      <c r="H21" s="459">
        <v>315</v>
      </c>
      <c r="I21" s="459"/>
      <c r="J21" s="459">
        <v>250</v>
      </c>
      <c r="K21" s="459"/>
      <c r="L21" s="467">
        <f>J21-H21</f>
        <v>-65</v>
      </c>
      <c r="M21" s="467"/>
      <c r="N21" s="508">
        <f>J21*100/H21</f>
        <v>79.365079365079367</v>
      </c>
      <c r="O21" s="508"/>
    </row>
    <row r="22" spans="1:15" s="10" customFormat="1" ht="40.5" customHeight="1">
      <c r="A22" s="240" t="s">
        <v>301</v>
      </c>
      <c r="B22" s="466">
        <v>6195</v>
      </c>
      <c r="C22" s="466"/>
      <c r="D22" s="459">
        <v>6687</v>
      </c>
      <c r="E22" s="459"/>
      <c r="F22" s="459">
        <v>6787</v>
      </c>
      <c r="G22" s="459"/>
      <c r="H22" s="459">
        <v>5426</v>
      </c>
      <c r="I22" s="459"/>
      <c r="J22" s="459">
        <v>5426</v>
      </c>
      <c r="K22" s="459"/>
      <c r="L22" s="467">
        <f t="shared" ref="L22:L23" si="1">J22-H22</f>
        <v>0</v>
      </c>
      <c r="M22" s="467"/>
      <c r="N22" s="508">
        <f>J22*100/H22</f>
        <v>100</v>
      </c>
      <c r="O22" s="508"/>
    </row>
    <row r="23" spans="1:15" s="10" customFormat="1" ht="20.100000000000001" customHeight="1">
      <c r="A23" s="240" t="s">
        <v>303</v>
      </c>
      <c r="B23" s="466">
        <v>14085</v>
      </c>
      <c r="C23" s="466"/>
      <c r="D23" s="459">
        <v>13716</v>
      </c>
      <c r="E23" s="459"/>
      <c r="F23" s="459">
        <v>13000</v>
      </c>
      <c r="G23" s="459"/>
      <c r="H23" s="459">
        <v>5168</v>
      </c>
      <c r="I23" s="459"/>
      <c r="J23" s="459">
        <v>9215</v>
      </c>
      <c r="K23" s="459"/>
      <c r="L23" s="467">
        <f t="shared" si="1"/>
        <v>4047</v>
      </c>
      <c r="M23" s="467"/>
      <c r="N23" s="508">
        <f>J23*100/H23</f>
        <v>178.30882352941177</v>
      </c>
      <c r="O23" s="508"/>
    </row>
    <row r="24" spans="1:15" s="10" customFormat="1" ht="32.25" customHeight="1">
      <c r="A24" s="511" t="s">
        <v>619</v>
      </c>
      <c r="B24" s="512"/>
      <c r="C24" s="512"/>
      <c r="D24" s="512"/>
      <c r="E24" s="512"/>
      <c r="F24" s="512"/>
      <c r="G24" s="512"/>
      <c r="H24" s="512"/>
      <c r="I24" s="512"/>
      <c r="J24" s="512"/>
      <c r="K24" s="512"/>
      <c r="L24" s="512"/>
      <c r="M24" s="512"/>
      <c r="N24" s="512"/>
      <c r="O24" s="513"/>
    </row>
    <row r="25" spans="1:15" s="10" customFormat="1" ht="20.100000000000001" customHeight="1">
      <c r="A25" s="240" t="s">
        <v>302</v>
      </c>
      <c r="B25" s="459">
        <f>(B21+(B21*22%))</f>
        <v>368.44</v>
      </c>
      <c r="C25" s="459"/>
      <c r="D25" s="459">
        <f>(D21+(D21*22%))</f>
        <v>517.28</v>
      </c>
      <c r="E25" s="459"/>
      <c r="F25" s="459">
        <f>(F21+(F21*22%))</f>
        <v>512.4</v>
      </c>
      <c r="G25" s="459"/>
      <c r="H25" s="459">
        <f>H21+(H21*22%)</f>
        <v>384.3</v>
      </c>
      <c r="I25" s="459"/>
      <c r="J25" s="459">
        <v>307</v>
      </c>
      <c r="K25" s="459"/>
      <c r="L25" s="467">
        <f>J25-H25</f>
        <v>-77.300000000000011</v>
      </c>
      <c r="M25" s="467"/>
      <c r="N25" s="508">
        <f>J25*100/H25</f>
        <v>79.885506115014309</v>
      </c>
      <c r="O25" s="508"/>
    </row>
    <row r="26" spans="1:15" s="10" customFormat="1" ht="42.75" customHeight="1">
      <c r="A26" s="240" t="s">
        <v>301</v>
      </c>
      <c r="B26" s="459">
        <f>(B22+(B22*22%))</f>
        <v>7557.9</v>
      </c>
      <c r="C26" s="459"/>
      <c r="D26" s="459">
        <f>(D22+(D22*22%))+17</f>
        <v>8175.14</v>
      </c>
      <c r="E26" s="459"/>
      <c r="F26" s="459">
        <f t="shared" ref="F26" si="2">(F22+(F22*22%))</f>
        <v>8280.14</v>
      </c>
      <c r="G26" s="459"/>
      <c r="H26" s="459">
        <f>H22+H22*22%</f>
        <v>6619.72</v>
      </c>
      <c r="I26" s="459"/>
      <c r="J26" s="459">
        <v>6630</v>
      </c>
      <c r="K26" s="459"/>
      <c r="L26" s="467">
        <f t="shared" ref="L26:L27" si="3">J26-H26</f>
        <v>10.279999999999745</v>
      </c>
      <c r="M26" s="467"/>
      <c r="N26" s="508">
        <f>J26*100/H26</f>
        <v>100.15529357737185</v>
      </c>
      <c r="O26" s="508"/>
    </row>
    <row r="27" spans="1:15" s="10" customFormat="1" ht="20.100000000000001" customHeight="1">
      <c r="A27" s="240" t="s">
        <v>303</v>
      </c>
      <c r="B27" s="459">
        <f>(B23+(B23*22%))</f>
        <v>17183.7</v>
      </c>
      <c r="C27" s="459"/>
      <c r="D27" s="459">
        <f>(D23+(D23*22%))+14</f>
        <v>16747.52</v>
      </c>
      <c r="E27" s="459"/>
      <c r="F27" s="459">
        <f>(F23+(F23*22%))</f>
        <v>15860</v>
      </c>
      <c r="G27" s="459"/>
      <c r="H27" s="459">
        <f>H23+H23*22%</f>
        <v>6304.96</v>
      </c>
      <c r="I27" s="459"/>
      <c r="J27" s="459">
        <v>11272</v>
      </c>
      <c r="K27" s="459"/>
      <c r="L27" s="467">
        <f t="shared" si="3"/>
        <v>4967.04</v>
      </c>
      <c r="M27" s="467"/>
      <c r="N27" s="508">
        <f>J27*100/H27</f>
        <v>178.77988123635996</v>
      </c>
      <c r="O27" s="508"/>
    </row>
    <row r="28" spans="1:15" s="10" customFormat="1" ht="32.25" customHeight="1">
      <c r="A28" s="511" t="s">
        <v>304</v>
      </c>
      <c r="B28" s="512"/>
      <c r="C28" s="512"/>
      <c r="D28" s="512"/>
      <c r="E28" s="512"/>
      <c r="F28" s="512"/>
      <c r="G28" s="512"/>
      <c r="H28" s="512"/>
      <c r="I28" s="512"/>
      <c r="J28" s="512"/>
      <c r="K28" s="512"/>
      <c r="L28" s="512"/>
      <c r="M28" s="512"/>
      <c r="N28" s="512"/>
      <c r="O28" s="513"/>
    </row>
    <row r="29" spans="1:15" s="10" customFormat="1" ht="20.100000000000001" customHeight="1">
      <c r="A29" s="240" t="s">
        <v>302</v>
      </c>
      <c r="B29" s="459">
        <v>25000</v>
      </c>
      <c r="C29" s="459"/>
      <c r="D29" s="459">
        <f>D21/12*1000</f>
        <v>35333.333333333336</v>
      </c>
      <c r="E29" s="459"/>
      <c r="F29" s="459">
        <v>35000</v>
      </c>
      <c r="G29" s="459"/>
      <c r="H29" s="459">
        <v>35000</v>
      </c>
      <c r="I29" s="459"/>
      <c r="J29" s="459">
        <f>J21/9*1000</f>
        <v>27777.777777777777</v>
      </c>
      <c r="K29" s="459"/>
      <c r="L29" s="467">
        <f>J29-H29</f>
        <v>-7222.2222222222226</v>
      </c>
      <c r="M29" s="467"/>
      <c r="N29" s="508">
        <f>J29*100/H29</f>
        <v>79.365079365079353</v>
      </c>
      <c r="O29" s="508"/>
    </row>
    <row r="30" spans="1:15" s="10" customFormat="1" ht="45" customHeight="1">
      <c r="A30" s="240" t="s">
        <v>301</v>
      </c>
      <c r="B30" s="459">
        <v>17802</v>
      </c>
      <c r="C30" s="459"/>
      <c r="D30" s="459">
        <v>17361</v>
      </c>
      <c r="E30" s="459"/>
      <c r="F30" s="459">
        <v>21753</v>
      </c>
      <c r="G30" s="459"/>
      <c r="H30" s="459">
        <f>H22/6/26*1000</f>
        <v>34782.051282051281</v>
      </c>
      <c r="I30" s="459"/>
      <c r="J30" s="479">
        <f>J22/9/27*1000</f>
        <v>22329.218106995886</v>
      </c>
      <c r="K30" s="480"/>
      <c r="L30" s="467">
        <f t="shared" ref="L30:L31" si="4">J30-H30</f>
        <v>-12452.833175055395</v>
      </c>
      <c r="M30" s="467"/>
      <c r="N30" s="508">
        <f>J30*100/H30</f>
        <v>64.197530864197532</v>
      </c>
      <c r="O30" s="508"/>
    </row>
    <row r="31" spans="1:15" s="10" customFormat="1" ht="20.100000000000001" customHeight="1">
      <c r="A31" s="240" t="s">
        <v>303</v>
      </c>
      <c r="B31" s="459">
        <v>9029</v>
      </c>
      <c r="C31" s="459"/>
      <c r="D31" s="459">
        <v>9034</v>
      </c>
      <c r="E31" s="459"/>
      <c r="F31" s="459">
        <v>9673</v>
      </c>
      <c r="G31" s="459"/>
      <c r="H31" s="459">
        <f>H23/6/112*1000</f>
        <v>7690.4761904761908</v>
      </c>
      <c r="I31" s="459"/>
      <c r="J31" s="479">
        <f>J23/9/92*1000-165</f>
        <v>10964.227053140097</v>
      </c>
      <c r="K31" s="480"/>
      <c r="L31" s="467">
        <f t="shared" si="4"/>
        <v>3273.7508626639064</v>
      </c>
      <c r="M31" s="467"/>
      <c r="N31" s="508">
        <f>J31*100/H31</f>
        <v>142.56889666621797</v>
      </c>
      <c r="O31" s="508"/>
    </row>
    <row r="32" spans="1:15" s="10" customFormat="1" ht="27.75" customHeight="1">
      <c r="A32" s="511" t="s">
        <v>305</v>
      </c>
      <c r="B32" s="512"/>
      <c r="C32" s="512"/>
      <c r="D32" s="512"/>
      <c r="E32" s="512"/>
      <c r="F32" s="512"/>
      <c r="G32" s="512"/>
      <c r="H32" s="512"/>
      <c r="I32" s="512"/>
      <c r="J32" s="512"/>
      <c r="K32" s="512"/>
      <c r="L32" s="512"/>
      <c r="M32" s="512"/>
      <c r="N32" s="512"/>
      <c r="O32" s="513"/>
    </row>
    <row r="33" spans="1:15" s="10" customFormat="1" ht="20.100000000000001" customHeight="1">
      <c r="A33" s="240" t="s">
        <v>302</v>
      </c>
      <c r="B33" s="459">
        <v>25000</v>
      </c>
      <c r="C33" s="459"/>
      <c r="D33" s="459">
        <f>D29</f>
        <v>35333.333333333336</v>
      </c>
      <c r="E33" s="459"/>
      <c r="F33" s="459">
        <v>35000</v>
      </c>
      <c r="G33" s="459"/>
      <c r="H33" s="459">
        <v>35000</v>
      </c>
      <c r="I33" s="459"/>
      <c r="J33" s="459">
        <f>J29</f>
        <v>27777.777777777777</v>
      </c>
      <c r="K33" s="459"/>
      <c r="L33" s="467">
        <f>J33-H33</f>
        <v>-7222.2222222222226</v>
      </c>
      <c r="M33" s="467"/>
      <c r="N33" s="508">
        <f>J33*100/H33</f>
        <v>79.365079365079353</v>
      </c>
      <c r="O33" s="508"/>
    </row>
    <row r="34" spans="1:15" s="10" customFormat="1" ht="42.75" customHeight="1">
      <c r="A34" s="240" t="s">
        <v>301</v>
      </c>
      <c r="B34" s="459">
        <v>17802</v>
      </c>
      <c r="C34" s="459"/>
      <c r="D34" s="459">
        <f>D30</f>
        <v>17361</v>
      </c>
      <c r="E34" s="459"/>
      <c r="F34" s="459">
        <v>21753</v>
      </c>
      <c r="G34" s="459"/>
      <c r="H34" s="459">
        <v>21753</v>
      </c>
      <c r="I34" s="459"/>
      <c r="J34" s="459">
        <f>J30</f>
        <v>22329.218106995886</v>
      </c>
      <c r="K34" s="459"/>
      <c r="L34" s="467">
        <f t="shared" ref="L34:L35" si="5">J34-H34</f>
        <v>576.21810699588605</v>
      </c>
      <c r="M34" s="467"/>
      <c r="N34" s="508">
        <f>J34*100/H34</f>
        <v>102.64891328550492</v>
      </c>
      <c r="O34" s="508"/>
    </row>
    <row r="35" spans="1:15" s="10" customFormat="1" ht="20.100000000000001" customHeight="1">
      <c r="A35" s="240" t="s">
        <v>303</v>
      </c>
      <c r="B35" s="459">
        <v>9253</v>
      </c>
      <c r="C35" s="459"/>
      <c r="D35" s="459">
        <f>D31+184</f>
        <v>9218</v>
      </c>
      <c r="E35" s="459"/>
      <c r="F35" s="459">
        <v>7762</v>
      </c>
      <c r="G35" s="459"/>
      <c r="H35" s="459">
        <v>7762</v>
      </c>
      <c r="I35" s="459"/>
      <c r="J35" s="459">
        <f>J31+165</f>
        <v>11129.227053140097</v>
      </c>
      <c r="K35" s="459"/>
      <c r="L35" s="467">
        <f t="shared" si="5"/>
        <v>3367.2270531400973</v>
      </c>
      <c r="M35" s="467"/>
      <c r="N35" s="508">
        <f>J35*100/H35</f>
        <v>143.38092055063254</v>
      </c>
      <c r="O35" s="508"/>
    </row>
    <row r="36" spans="1:15" ht="22.5" customHeight="1">
      <c r="A36" s="526" t="s">
        <v>350</v>
      </c>
      <c r="B36" s="526"/>
      <c r="C36" s="526"/>
      <c r="D36" s="526"/>
      <c r="E36" s="526"/>
      <c r="F36" s="526"/>
      <c r="G36" s="526"/>
      <c r="H36" s="526"/>
      <c r="I36" s="526"/>
      <c r="J36" s="526"/>
      <c r="K36" s="526"/>
      <c r="L36" s="526"/>
      <c r="M36" s="526"/>
      <c r="N36" s="526"/>
      <c r="O36" s="526"/>
    </row>
    <row r="37" spans="1:15" ht="11.25" customHeight="1">
      <c r="A37" s="50"/>
      <c r="B37" s="50"/>
      <c r="C37" s="50"/>
      <c r="D37" s="50"/>
      <c r="E37" s="50"/>
      <c r="F37" s="50"/>
      <c r="G37" s="50"/>
      <c r="H37" s="50"/>
      <c r="I37" s="50"/>
    </row>
    <row r="38" spans="1:15" ht="26.25" customHeight="1">
      <c r="A38" s="453" t="s">
        <v>372</v>
      </c>
      <c r="B38" s="453"/>
      <c r="C38" s="453"/>
      <c r="D38" s="453"/>
      <c r="E38" s="453"/>
      <c r="F38" s="453"/>
      <c r="G38" s="453"/>
      <c r="H38" s="453"/>
      <c r="I38" s="453"/>
      <c r="J38" s="453"/>
      <c r="K38" s="453"/>
      <c r="L38" s="453"/>
      <c r="M38" s="453"/>
      <c r="N38" s="453"/>
      <c r="O38" s="453"/>
    </row>
    <row r="39" spans="1:15" ht="42.75" customHeight="1">
      <c r="A39" s="51" t="s">
        <v>137</v>
      </c>
      <c r="B39" s="514" t="s">
        <v>373</v>
      </c>
      <c r="C39" s="515"/>
      <c r="D39" s="515"/>
      <c r="E39" s="516"/>
      <c r="F39" s="503" t="s">
        <v>85</v>
      </c>
      <c r="G39" s="503"/>
      <c r="H39" s="503"/>
      <c r="I39" s="503"/>
      <c r="J39" s="503"/>
      <c r="K39" s="503"/>
      <c r="L39" s="503"/>
      <c r="M39" s="503"/>
      <c r="N39" s="503"/>
      <c r="O39" s="503"/>
    </row>
    <row r="40" spans="1:15" ht="17.25" customHeight="1">
      <c r="A40" s="51">
        <v>1</v>
      </c>
      <c r="B40" s="498">
        <v>2</v>
      </c>
      <c r="C40" s="504"/>
      <c r="D40" s="504"/>
      <c r="E40" s="504"/>
      <c r="F40" s="503">
        <v>3</v>
      </c>
      <c r="G40" s="503"/>
      <c r="H40" s="503"/>
      <c r="I40" s="503"/>
      <c r="J40" s="503"/>
      <c r="K40" s="503"/>
      <c r="L40" s="503"/>
      <c r="M40" s="503"/>
      <c r="N40" s="503"/>
      <c r="O40" s="503"/>
    </row>
    <row r="41" spans="1:15" ht="20.100000000000001" customHeight="1">
      <c r="A41" s="52"/>
      <c r="B41" s="484"/>
      <c r="C41" s="525"/>
      <c r="D41" s="525"/>
      <c r="E41" s="525"/>
      <c r="F41" s="492"/>
      <c r="G41" s="492"/>
      <c r="H41" s="492"/>
      <c r="I41" s="492"/>
      <c r="J41" s="492"/>
      <c r="K41" s="492"/>
      <c r="L41" s="492"/>
      <c r="M41" s="492"/>
      <c r="N41" s="492"/>
      <c r="O41" s="492"/>
    </row>
    <row r="42" spans="1:15" ht="20.100000000000001" hidden="1" customHeight="1" outlineLevel="1">
      <c r="A42" s="53"/>
      <c r="B42" s="54"/>
      <c r="C42" s="54"/>
      <c r="D42" s="54"/>
      <c r="E42" s="54"/>
      <c r="F42" s="55"/>
      <c r="G42" s="55"/>
      <c r="H42" s="55"/>
      <c r="I42" s="55"/>
      <c r="J42" s="279"/>
      <c r="K42" s="279"/>
      <c r="L42" s="55"/>
      <c r="M42" s="523" t="s">
        <v>240</v>
      </c>
      <c r="N42" s="523"/>
      <c r="O42" s="523"/>
    </row>
    <row r="43" spans="1:15" ht="20.100000000000001" hidden="1" customHeight="1" outlineLevel="1">
      <c r="A43" s="53"/>
      <c r="B43" s="54"/>
      <c r="C43" s="54"/>
      <c r="D43" s="54"/>
      <c r="E43" s="54"/>
      <c r="F43" s="55"/>
      <c r="G43" s="55"/>
      <c r="H43" s="55"/>
      <c r="I43" s="55"/>
      <c r="J43" s="279"/>
      <c r="K43" s="279"/>
      <c r="L43" s="55"/>
      <c r="M43" s="524" t="s">
        <v>292</v>
      </c>
      <c r="N43" s="524"/>
      <c r="O43" s="524"/>
    </row>
    <row r="44" spans="1:15" ht="28.5" customHeight="1" collapsed="1">
      <c r="A44" s="446" t="s">
        <v>250</v>
      </c>
      <c r="B44" s="446"/>
      <c r="C44" s="446"/>
      <c r="D44" s="446"/>
      <c r="E44" s="446"/>
      <c r="F44" s="446"/>
      <c r="G44" s="446"/>
      <c r="H44" s="446"/>
      <c r="I44" s="446"/>
      <c r="J44" s="446"/>
      <c r="K44" s="446"/>
      <c r="L44" s="446"/>
      <c r="M44" s="446"/>
      <c r="N44" s="446"/>
      <c r="O44" s="446"/>
    </row>
    <row r="45" spans="1:15" ht="52.5" customHeight="1">
      <c r="A45" s="517" t="s">
        <v>286</v>
      </c>
      <c r="B45" s="518"/>
      <c r="C45" s="519"/>
      <c r="D45" s="447" t="s">
        <v>241</v>
      </c>
      <c r="E45" s="447"/>
      <c r="F45" s="447"/>
      <c r="G45" s="447" t="s">
        <v>237</v>
      </c>
      <c r="H45" s="447"/>
      <c r="I45" s="447"/>
      <c r="J45" s="447" t="s">
        <v>293</v>
      </c>
      <c r="K45" s="447"/>
      <c r="L45" s="447"/>
      <c r="M45" s="464" t="s">
        <v>294</v>
      </c>
      <c r="N45" s="465"/>
      <c r="O45" s="430" t="s">
        <v>317</v>
      </c>
    </row>
    <row r="46" spans="1:15" ht="189.75" customHeight="1">
      <c r="A46" s="520"/>
      <c r="B46" s="521"/>
      <c r="C46" s="522"/>
      <c r="D46" s="17" t="s">
        <v>320</v>
      </c>
      <c r="E46" s="17" t="s">
        <v>319</v>
      </c>
      <c r="F46" s="17" t="s">
        <v>318</v>
      </c>
      <c r="G46" s="17" t="s">
        <v>320</v>
      </c>
      <c r="H46" s="17" t="s">
        <v>319</v>
      </c>
      <c r="I46" s="17" t="s">
        <v>318</v>
      </c>
      <c r="J46" s="214" t="s">
        <v>320</v>
      </c>
      <c r="K46" s="214" t="s">
        <v>319</v>
      </c>
      <c r="L46" s="17" t="s">
        <v>318</v>
      </c>
      <c r="M46" s="17" t="s">
        <v>242</v>
      </c>
      <c r="N46" s="17" t="s">
        <v>243</v>
      </c>
      <c r="O46" s="471"/>
    </row>
    <row r="47" spans="1:15">
      <c r="A47" s="464">
        <v>1</v>
      </c>
      <c r="B47" s="475"/>
      <c r="C47" s="465"/>
      <c r="D47" s="17">
        <v>4</v>
      </c>
      <c r="E47" s="17">
        <v>5</v>
      </c>
      <c r="F47" s="17">
        <v>6</v>
      </c>
      <c r="G47" s="17">
        <v>7</v>
      </c>
      <c r="H47" s="15">
        <v>8</v>
      </c>
      <c r="I47" s="15">
        <v>9</v>
      </c>
      <c r="J47" s="280">
        <v>10</v>
      </c>
      <c r="K47" s="280">
        <v>11</v>
      </c>
      <c r="L47" s="15">
        <v>12</v>
      </c>
      <c r="M47" s="15">
        <v>13</v>
      </c>
      <c r="N47" s="15">
        <v>14</v>
      </c>
      <c r="O47" s="15">
        <v>15</v>
      </c>
    </row>
    <row r="48" spans="1:15">
      <c r="A48" s="476" t="s">
        <v>496</v>
      </c>
      <c r="B48" s="477"/>
      <c r="C48" s="478"/>
      <c r="D48" s="333">
        <f>'1. Фін результат'!D9</f>
        <v>630</v>
      </c>
      <c r="E48" s="297" t="s">
        <v>675</v>
      </c>
      <c r="F48" s="297">
        <v>500</v>
      </c>
      <c r="G48" s="340">
        <f>'1. Фін результат'!E9</f>
        <v>0</v>
      </c>
      <c r="H48" s="342"/>
      <c r="I48" s="341"/>
      <c r="J48" s="307">
        <f>G48-D48</f>
        <v>-630</v>
      </c>
      <c r="K48" s="343" t="s">
        <v>710</v>
      </c>
      <c r="L48" s="300">
        <f>I48-F48</f>
        <v>-500</v>
      </c>
      <c r="M48" s="285">
        <f>G48*100/D48</f>
        <v>0</v>
      </c>
      <c r="N48" s="328">
        <v>0</v>
      </c>
      <c r="O48" s="307">
        <f>I48-F48</f>
        <v>-500</v>
      </c>
    </row>
    <row r="49" spans="1:15" ht="29.25" customHeight="1">
      <c r="A49" s="476" t="s">
        <v>572</v>
      </c>
      <c r="B49" s="477"/>
      <c r="C49" s="478"/>
      <c r="D49" s="333">
        <f>'1. Фін результат'!D10</f>
        <v>45</v>
      </c>
      <c r="E49" s="297" t="s">
        <v>674</v>
      </c>
      <c r="F49" s="297">
        <v>110</v>
      </c>
      <c r="G49" s="340">
        <f>'1. Фін результат'!E10</f>
        <v>100</v>
      </c>
      <c r="H49" s="342" t="s">
        <v>707</v>
      </c>
      <c r="I49" s="341">
        <v>250</v>
      </c>
      <c r="J49" s="307">
        <f>G49-D49</f>
        <v>55</v>
      </c>
      <c r="K49" s="343" t="s">
        <v>708</v>
      </c>
      <c r="L49" s="300">
        <f>I49-F49</f>
        <v>140</v>
      </c>
      <c r="M49" s="285">
        <f>G49*100/D49</f>
        <v>222.22222222222223</v>
      </c>
      <c r="N49" s="328">
        <f>817*100/273</f>
        <v>299.26739926739924</v>
      </c>
      <c r="O49" s="307">
        <f>I49-F49</f>
        <v>140</v>
      </c>
    </row>
    <row r="50" spans="1:15" ht="29.25" customHeight="1">
      <c r="A50" s="476" t="s">
        <v>620</v>
      </c>
      <c r="B50" s="477"/>
      <c r="C50" s="478"/>
      <c r="D50" s="362">
        <f>'1. Фін результат'!D11</f>
        <v>15</v>
      </c>
      <c r="E50" s="297" t="s">
        <v>673</v>
      </c>
      <c r="F50" s="297">
        <v>3</v>
      </c>
      <c r="G50" s="362">
        <f>'1. Фін результат'!E11</f>
        <v>23</v>
      </c>
      <c r="H50" s="342" t="s">
        <v>706</v>
      </c>
      <c r="I50" s="363">
        <v>3</v>
      </c>
      <c r="J50" s="307">
        <f>G50-D50</f>
        <v>8</v>
      </c>
      <c r="K50" s="364" t="s">
        <v>709</v>
      </c>
      <c r="L50" s="300">
        <f>I50-F50</f>
        <v>0</v>
      </c>
      <c r="M50" s="285">
        <f>G50*100/D50</f>
        <v>153.33333333333334</v>
      </c>
      <c r="N50" s="328">
        <f>7668*100/3333</f>
        <v>230.06300630063006</v>
      </c>
      <c r="O50" s="307">
        <f>I50-F50</f>
        <v>0</v>
      </c>
    </row>
    <row r="51" spans="1:15" ht="24.95" customHeight="1">
      <c r="A51" s="472" t="s">
        <v>57</v>
      </c>
      <c r="B51" s="473"/>
      <c r="C51" s="474"/>
      <c r="D51" s="281">
        <f>SUM(D48:D49)</f>
        <v>675</v>
      </c>
      <c r="E51" s="19"/>
      <c r="F51" s="56"/>
      <c r="G51" s="281">
        <f>SUM(G48:G50)</f>
        <v>123</v>
      </c>
      <c r="H51" s="281"/>
      <c r="I51" s="281"/>
      <c r="J51" s="344">
        <f>G51-D51</f>
        <v>-552</v>
      </c>
      <c r="K51" s="281"/>
      <c r="L51" s="300"/>
      <c r="M51" s="368">
        <f>G51*100/D51</f>
        <v>18.222222222222221</v>
      </c>
      <c r="N51" s="285"/>
      <c r="O51" s="344">
        <f>SUM(O48:O50)</f>
        <v>-360</v>
      </c>
    </row>
    <row r="52" spans="1:15" ht="27" customHeight="1">
      <c r="A52" s="446" t="s">
        <v>74</v>
      </c>
      <c r="B52" s="446"/>
      <c r="C52" s="446"/>
      <c r="D52" s="446"/>
      <c r="E52" s="446"/>
      <c r="F52" s="446"/>
      <c r="G52" s="446"/>
      <c r="H52" s="446"/>
      <c r="I52" s="446"/>
      <c r="J52" s="446"/>
      <c r="K52" s="446"/>
      <c r="L52" s="446"/>
      <c r="M52" s="446"/>
      <c r="N52" s="446"/>
      <c r="O52" s="446"/>
    </row>
    <row r="53" spans="1:15" ht="69.75" customHeight="1">
      <c r="A53" s="17" t="s">
        <v>126</v>
      </c>
      <c r="B53" s="447" t="s">
        <v>73</v>
      </c>
      <c r="C53" s="447"/>
      <c r="D53" s="447" t="s">
        <v>68</v>
      </c>
      <c r="E53" s="447"/>
      <c r="F53" s="447" t="s">
        <v>69</v>
      </c>
      <c r="G53" s="447"/>
      <c r="H53" s="447" t="s">
        <v>89</v>
      </c>
      <c r="I53" s="447"/>
      <c r="J53" s="447"/>
      <c r="K53" s="464" t="s">
        <v>86</v>
      </c>
      <c r="L53" s="465"/>
      <c r="M53" s="464" t="s">
        <v>36</v>
      </c>
      <c r="N53" s="475"/>
      <c r="O53" s="465"/>
    </row>
    <row r="54" spans="1:15">
      <c r="A54" s="15">
        <v>1</v>
      </c>
      <c r="B54" s="503">
        <v>2</v>
      </c>
      <c r="C54" s="503"/>
      <c r="D54" s="503">
        <v>3</v>
      </c>
      <c r="E54" s="503"/>
      <c r="F54" s="503">
        <v>4</v>
      </c>
      <c r="G54" s="503"/>
      <c r="H54" s="503">
        <v>5</v>
      </c>
      <c r="I54" s="503"/>
      <c r="J54" s="503"/>
      <c r="K54" s="503">
        <v>6</v>
      </c>
      <c r="L54" s="503"/>
      <c r="M54" s="498">
        <v>7</v>
      </c>
      <c r="N54" s="504"/>
      <c r="O54" s="499"/>
    </row>
    <row r="55" spans="1:15">
      <c r="A55" s="27"/>
      <c r="B55" s="492"/>
      <c r="C55" s="492"/>
      <c r="D55" s="491"/>
      <c r="E55" s="491"/>
      <c r="F55" s="494" t="s">
        <v>258</v>
      </c>
      <c r="G55" s="494"/>
      <c r="H55" s="493"/>
      <c r="I55" s="493"/>
      <c r="J55" s="493"/>
      <c r="K55" s="481"/>
      <c r="L55" s="483"/>
      <c r="M55" s="491"/>
      <c r="N55" s="491"/>
      <c r="O55" s="491"/>
    </row>
    <row r="56" spans="1:15">
      <c r="A56" s="27"/>
      <c r="B56" s="495"/>
      <c r="C56" s="496"/>
      <c r="D56" s="481"/>
      <c r="E56" s="483"/>
      <c r="F56" s="486"/>
      <c r="G56" s="487"/>
      <c r="H56" s="488"/>
      <c r="I56" s="489"/>
      <c r="J56" s="490"/>
      <c r="K56" s="481"/>
      <c r="L56" s="483"/>
      <c r="M56" s="481"/>
      <c r="N56" s="482"/>
      <c r="O56" s="483"/>
    </row>
    <row r="57" spans="1:15">
      <c r="A57" s="27"/>
      <c r="B57" s="484"/>
      <c r="C57" s="485"/>
      <c r="D57" s="481"/>
      <c r="E57" s="483"/>
      <c r="F57" s="486"/>
      <c r="G57" s="487"/>
      <c r="H57" s="488"/>
      <c r="I57" s="489"/>
      <c r="J57" s="490"/>
      <c r="K57" s="481"/>
      <c r="L57" s="483"/>
      <c r="M57" s="481"/>
      <c r="N57" s="482"/>
      <c r="O57" s="483"/>
    </row>
    <row r="58" spans="1:15">
      <c r="A58" s="27"/>
      <c r="B58" s="492"/>
      <c r="C58" s="492"/>
      <c r="D58" s="491"/>
      <c r="E58" s="491"/>
      <c r="F58" s="494"/>
      <c r="G58" s="494"/>
      <c r="H58" s="493"/>
      <c r="I58" s="493"/>
      <c r="J58" s="493"/>
      <c r="K58" s="481"/>
      <c r="L58" s="483"/>
      <c r="M58" s="491"/>
      <c r="N58" s="491"/>
      <c r="O58" s="491"/>
    </row>
    <row r="59" spans="1:15">
      <c r="A59" s="14" t="s">
        <v>57</v>
      </c>
      <c r="B59" s="503" t="s">
        <v>37</v>
      </c>
      <c r="C59" s="503"/>
      <c r="D59" s="503" t="s">
        <v>37</v>
      </c>
      <c r="E59" s="503"/>
      <c r="F59" s="503" t="s">
        <v>37</v>
      </c>
      <c r="G59" s="503"/>
      <c r="H59" s="493"/>
      <c r="I59" s="493"/>
      <c r="J59" s="493"/>
      <c r="K59" s="481"/>
      <c r="L59" s="483"/>
      <c r="M59" s="491"/>
      <c r="N59" s="491"/>
      <c r="O59" s="491"/>
    </row>
    <row r="60" spans="1:15" ht="28.5" customHeight="1">
      <c r="A60" s="446" t="s">
        <v>75</v>
      </c>
      <c r="B60" s="446"/>
      <c r="C60" s="446"/>
      <c r="D60" s="446"/>
      <c r="E60" s="446"/>
      <c r="F60" s="446"/>
      <c r="G60" s="446"/>
      <c r="H60" s="446"/>
      <c r="I60" s="446"/>
      <c r="J60" s="446"/>
      <c r="K60" s="446"/>
      <c r="L60" s="446"/>
      <c r="M60" s="446"/>
      <c r="N60" s="446"/>
      <c r="O60" s="446"/>
    </row>
    <row r="61" spans="1:15" ht="42.75" customHeight="1">
      <c r="A61" s="447" t="s">
        <v>67</v>
      </c>
      <c r="B61" s="447"/>
      <c r="C61" s="447"/>
      <c r="D61" s="447" t="s">
        <v>244</v>
      </c>
      <c r="E61" s="447"/>
      <c r="F61" s="447" t="s">
        <v>245</v>
      </c>
      <c r="G61" s="447"/>
      <c r="H61" s="447"/>
      <c r="I61" s="447"/>
      <c r="J61" s="447" t="s">
        <v>248</v>
      </c>
      <c r="K61" s="447"/>
      <c r="L61" s="447"/>
      <c r="M61" s="447"/>
      <c r="N61" s="447" t="s">
        <v>249</v>
      </c>
      <c r="O61" s="447"/>
    </row>
    <row r="62" spans="1:15" ht="42.75" customHeight="1">
      <c r="A62" s="447"/>
      <c r="B62" s="447"/>
      <c r="C62" s="447"/>
      <c r="D62" s="447"/>
      <c r="E62" s="447"/>
      <c r="F62" s="503" t="s">
        <v>246</v>
      </c>
      <c r="G62" s="503"/>
      <c r="H62" s="447" t="s">
        <v>247</v>
      </c>
      <c r="I62" s="447"/>
      <c r="J62" s="502" t="s">
        <v>246</v>
      </c>
      <c r="K62" s="502"/>
      <c r="L62" s="447" t="s">
        <v>247</v>
      </c>
      <c r="M62" s="447"/>
      <c r="N62" s="447"/>
      <c r="O62" s="447"/>
    </row>
    <row r="63" spans="1:15">
      <c r="A63" s="447">
        <v>1</v>
      </c>
      <c r="B63" s="447"/>
      <c r="C63" s="447"/>
      <c r="D63" s="464">
        <v>2</v>
      </c>
      <c r="E63" s="465"/>
      <c r="F63" s="464">
        <v>3</v>
      </c>
      <c r="G63" s="465"/>
      <c r="H63" s="498">
        <v>4</v>
      </c>
      <c r="I63" s="499"/>
      <c r="J63" s="500">
        <v>5</v>
      </c>
      <c r="K63" s="501"/>
      <c r="L63" s="498">
        <v>6</v>
      </c>
      <c r="M63" s="499"/>
      <c r="N63" s="498">
        <v>7</v>
      </c>
      <c r="O63" s="499"/>
    </row>
    <row r="64" spans="1:15" ht="20.100000000000001" customHeight="1">
      <c r="A64" s="497" t="s">
        <v>314</v>
      </c>
      <c r="B64" s="497"/>
      <c r="C64" s="497"/>
      <c r="D64" s="481"/>
      <c r="E64" s="483"/>
      <c r="F64" s="481"/>
      <c r="G64" s="483"/>
      <c r="H64" s="481"/>
      <c r="I64" s="483"/>
      <c r="J64" s="479"/>
      <c r="K64" s="480"/>
      <c r="L64" s="481"/>
      <c r="M64" s="483"/>
      <c r="N64" s="481"/>
      <c r="O64" s="483"/>
    </row>
    <row r="65" spans="1:15" ht="20.100000000000001" customHeight="1">
      <c r="A65" s="497" t="s">
        <v>103</v>
      </c>
      <c r="B65" s="497"/>
      <c r="C65" s="497"/>
      <c r="D65" s="481"/>
      <c r="E65" s="483"/>
      <c r="F65" s="481"/>
      <c r="G65" s="483"/>
      <c r="H65" s="481"/>
      <c r="I65" s="483"/>
      <c r="J65" s="479"/>
      <c r="K65" s="480"/>
      <c r="L65" s="481"/>
      <c r="M65" s="483"/>
      <c r="N65" s="481"/>
      <c r="O65" s="483"/>
    </row>
    <row r="66" spans="1:15" ht="20.100000000000001" customHeight="1">
      <c r="A66" s="497"/>
      <c r="B66" s="497"/>
      <c r="C66" s="497"/>
      <c r="D66" s="481"/>
      <c r="E66" s="483"/>
      <c r="F66" s="481"/>
      <c r="G66" s="483"/>
      <c r="H66" s="481"/>
      <c r="I66" s="483"/>
      <c r="J66" s="479"/>
      <c r="K66" s="480"/>
      <c r="L66" s="481"/>
      <c r="M66" s="483"/>
      <c r="N66" s="481"/>
      <c r="O66" s="483"/>
    </row>
    <row r="67" spans="1:15" ht="20.100000000000001" customHeight="1">
      <c r="A67" s="497" t="s">
        <v>315</v>
      </c>
      <c r="B67" s="497"/>
      <c r="C67" s="497"/>
      <c r="D67" s="481"/>
      <c r="E67" s="483"/>
      <c r="F67" s="481"/>
      <c r="G67" s="483"/>
      <c r="H67" s="481"/>
      <c r="I67" s="483"/>
      <c r="J67" s="479"/>
      <c r="K67" s="480"/>
      <c r="L67" s="481"/>
      <c r="M67" s="483"/>
      <c r="N67" s="481"/>
      <c r="O67" s="483"/>
    </row>
    <row r="68" spans="1:15" ht="20.100000000000001" customHeight="1">
      <c r="A68" s="497" t="s">
        <v>365</v>
      </c>
      <c r="B68" s="497"/>
      <c r="C68" s="497"/>
      <c r="D68" s="481"/>
      <c r="E68" s="483"/>
      <c r="F68" s="481"/>
      <c r="G68" s="483"/>
      <c r="H68" s="481"/>
      <c r="I68" s="483"/>
      <c r="J68" s="479"/>
      <c r="K68" s="480"/>
      <c r="L68" s="481"/>
      <c r="M68" s="483"/>
      <c r="N68" s="481"/>
      <c r="O68" s="483"/>
    </row>
    <row r="69" spans="1:15" ht="20.100000000000001" customHeight="1">
      <c r="A69" s="497"/>
      <c r="B69" s="497"/>
      <c r="C69" s="497"/>
      <c r="D69" s="481"/>
      <c r="E69" s="483"/>
      <c r="F69" s="481"/>
      <c r="G69" s="483"/>
      <c r="H69" s="481"/>
      <c r="I69" s="483"/>
      <c r="J69" s="479"/>
      <c r="K69" s="480"/>
      <c r="L69" s="481"/>
      <c r="M69" s="483"/>
      <c r="N69" s="481"/>
      <c r="O69" s="483"/>
    </row>
    <row r="70" spans="1:15" ht="20.100000000000001" customHeight="1">
      <c r="A70" s="497" t="s">
        <v>316</v>
      </c>
      <c r="B70" s="497"/>
      <c r="C70" s="497"/>
      <c r="D70" s="481"/>
      <c r="E70" s="483"/>
      <c r="F70" s="481"/>
      <c r="G70" s="483"/>
      <c r="H70" s="481"/>
      <c r="I70" s="483"/>
      <c r="J70" s="479"/>
      <c r="K70" s="480"/>
      <c r="L70" s="481"/>
      <c r="M70" s="483"/>
      <c r="N70" s="481"/>
      <c r="O70" s="483"/>
    </row>
    <row r="71" spans="1:15" ht="20.100000000000001" customHeight="1">
      <c r="A71" s="497" t="s">
        <v>103</v>
      </c>
      <c r="B71" s="497"/>
      <c r="C71" s="497"/>
      <c r="D71" s="481"/>
      <c r="E71" s="483"/>
      <c r="F71" s="481"/>
      <c r="G71" s="483"/>
      <c r="H71" s="481"/>
      <c r="I71" s="483"/>
      <c r="J71" s="479"/>
      <c r="K71" s="480"/>
      <c r="L71" s="481"/>
      <c r="M71" s="483"/>
      <c r="N71" s="481"/>
      <c r="O71" s="483"/>
    </row>
    <row r="72" spans="1:15" ht="20.100000000000001" customHeight="1">
      <c r="A72" s="497"/>
      <c r="B72" s="497"/>
      <c r="C72" s="497"/>
      <c r="D72" s="481"/>
      <c r="E72" s="483"/>
      <c r="F72" s="481"/>
      <c r="G72" s="483"/>
      <c r="H72" s="481"/>
      <c r="I72" s="483"/>
      <c r="J72" s="479"/>
      <c r="K72" s="480"/>
      <c r="L72" s="481"/>
      <c r="M72" s="483"/>
      <c r="N72" s="481"/>
      <c r="O72" s="483"/>
    </row>
    <row r="73" spans="1:15" ht="24.95" customHeight="1">
      <c r="A73" s="497" t="s">
        <v>57</v>
      </c>
      <c r="B73" s="497"/>
      <c r="C73" s="497"/>
      <c r="D73" s="481"/>
      <c r="E73" s="483"/>
      <c r="F73" s="481"/>
      <c r="G73" s="483"/>
      <c r="H73" s="481"/>
      <c r="I73" s="483"/>
      <c r="J73" s="479"/>
      <c r="K73" s="480"/>
      <c r="L73" s="481"/>
      <c r="M73" s="483"/>
      <c r="N73" s="481"/>
      <c r="O73" s="483"/>
    </row>
    <row r="74" spans="1:15">
      <c r="C74" s="58"/>
      <c r="D74" s="58"/>
      <c r="E74" s="58"/>
    </row>
    <row r="75" spans="1:15">
      <c r="C75" s="58"/>
      <c r="D75" s="58"/>
      <c r="E75" s="58"/>
    </row>
    <row r="76" spans="1:15">
      <c r="C76" s="58"/>
      <c r="D76" s="58"/>
      <c r="E76" s="58"/>
    </row>
    <row r="77" spans="1:15">
      <c r="C77" s="58"/>
      <c r="D77" s="58"/>
      <c r="E77" s="58"/>
    </row>
    <row r="78" spans="1:15">
      <c r="C78" s="58"/>
      <c r="D78" s="58"/>
      <c r="E78" s="58"/>
    </row>
    <row r="79" spans="1:15">
      <c r="C79" s="58"/>
      <c r="D79" s="58"/>
      <c r="E79" s="58"/>
    </row>
    <row r="80" spans="1:15">
      <c r="C80" s="58"/>
      <c r="D80" s="58"/>
      <c r="E80" s="58"/>
    </row>
    <row r="81" spans="3:5">
      <c r="C81" s="58"/>
      <c r="D81" s="58"/>
      <c r="E81" s="58"/>
    </row>
    <row r="82" spans="3:5">
      <c r="C82" s="58"/>
      <c r="D82" s="58"/>
      <c r="E82" s="58"/>
    </row>
    <row r="83" spans="3:5">
      <c r="C83" s="58"/>
      <c r="D83" s="58"/>
      <c r="E83" s="58"/>
    </row>
    <row r="84" spans="3:5">
      <c r="C84" s="58"/>
      <c r="D84" s="58"/>
      <c r="E84" s="58"/>
    </row>
    <row r="85" spans="3:5">
      <c r="C85" s="58"/>
      <c r="D85" s="58"/>
      <c r="E85" s="58"/>
    </row>
    <row r="86" spans="3:5">
      <c r="C86" s="58"/>
      <c r="D86" s="58"/>
      <c r="E86" s="58"/>
    </row>
    <row r="87" spans="3:5">
      <c r="C87" s="58"/>
      <c r="D87" s="58"/>
      <c r="E87" s="58"/>
    </row>
  </sheetData>
  <mergeCells count="306">
    <mergeCell ref="A50:C50"/>
    <mergeCell ref="A48:C48"/>
    <mergeCell ref="D56:E56"/>
    <mergeCell ref="F56:G56"/>
    <mergeCell ref="D45:F45"/>
    <mergeCell ref="B34:C34"/>
    <mergeCell ref="B35:C35"/>
    <mergeCell ref="J35:K35"/>
    <mergeCell ref="F35:G35"/>
    <mergeCell ref="D54:E54"/>
    <mergeCell ref="D35:E35"/>
    <mergeCell ref="H35:I35"/>
    <mergeCell ref="H34:I34"/>
    <mergeCell ref="H54:J54"/>
    <mergeCell ref="K56:L56"/>
    <mergeCell ref="A45:C46"/>
    <mergeCell ref="A44:O44"/>
    <mergeCell ref="M42:O42"/>
    <mergeCell ref="M43:O43"/>
    <mergeCell ref="F41:O41"/>
    <mergeCell ref="B41:E41"/>
    <mergeCell ref="A36:O36"/>
    <mergeCell ref="F40:O40"/>
    <mergeCell ref="B40:E40"/>
    <mergeCell ref="F39:O39"/>
    <mergeCell ref="B39:E39"/>
    <mergeCell ref="B18:C18"/>
    <mergeCell ref="B19:C19"/>
    <mergeCell ref="B21:C21"/>
    <mergeCell ref="B22:C22"/>
    <mergeCell ref="B23:C23"/>
    <mergeCell ref="B14:C14"/>
    <mergeCell ref="B15:C15"/>
    <mergeCell ref="B16:C16"/>
    <mergeCell ref="B17:C17"/>
    <mergeCell ref="D25:E25"/>
    <mergeCell ref="D26:E26"/>
    <mergeCell ref="A28:O28"/>
    <mergeCell ref="D23:E23"/>
    <mergeCell ref="D17:E17"/>
    <mergeCell ref="D18:E18"/>
    <mergeCell ref="L35:M35"/>
    <mergeCell ref="N29:O29"/>
    <mergeCell ref="N30:O30"/>
    <mergeCell ref="N31:O31"/>
    <mergeCell ref="N33:O33"/>
    <mergeCell ref="N34:O34"/>
    <mergeCell ref="N35:O35"/>
    <mergeCell ref="N23:O23"/>
    <mergeCell ref="N25:O25"/>
    <mergeCell ref="N26:O26"/>
    <mergeCell ref="A24:O24"/>
    <mergeCell ref="D33:E33"/>
    <mergeCell ref="D34:E34"/>
    <mergeCell ref="B33:C33"/>
    <mergeCell ref="A32:O32"/>
    <mergeCell ref="F34:G34"/>
    <mergeCell ref="J34:K34"/>
    <mergeCell ref="N27:O27"/>
    <mergeCell ref="D29:E29"/>
    <mergeCell ref="D30:E30"/>
    <mergeCell ref="D31:E31"/>
    <mergeCell ref="B25:C25"/>
    <mergeCell ref="B26:C26"/>
    <mergeCell ref="B27:C27"/>
    <mergeCell ref="B29:C29"/>
    <mergeCell ref="B31:C31"/>
    <mergeCell ref="B30:C30"/>
    <mergeCell ref="L23:M23"/>
    <mergeCell ref="L25:M25"/>
    <mergeCell ref="L26:M26"/>
    <mergeCell ref="H27:I27"/>
    <mergeCell ref="F23:G23"/>
    <mergeCell ref="F25:G25"/>
    <mergeCell ref="F26:G26"/>
    <mergeCell ref="J23:K23"/>
    <mergeCell ref="J25:K25"/>
    <mergeCell ref="J26:K26"/>
    <mergeCell ref="J27:K27"/>
    <mergeCell ref="L31:M31"/>
    <mergeCell ref="L30:M30"/>
    <mergeCell ref="J30:K30"/>
    <mergeCell ref="H23:I23"/>
    <mergeCell ref="H25:I25"/>
    <mergeCell ref="H26:I26"/>
    <mergeCell ref="L29:M29"/>
    <mergeCell ref="F19:G19"/>
    <mergeCell ref="F21:G21"/>
    <mergeCell ref="F22:G22"/>
    <mergeCell ref="D19:E19"/>
    <mergeCell ref="J19:K19"/>
    <mergeCell ref="J21:K21"/>
    <mergeCell ref="J22:K22"/>
    <mergeCell ref="A20:O20"/>
    <mergeCell ref="H19:I19"/>
    <mergeCell ref="H21:I21"/>
    <mergeCell ref="H22:I22"/>
    <mergeCell ref="N19:O19"/>
    <mergeCell ref="N21:O21"/>
    <mergeCell ref="N22:O22"/>
    <mergeCell ref="L19:M19"/>
    <mergeCell ref="L21:M21"/>
    <mergeCell ref="L22:M22"/>
    <mergeCell ref="D21:E21"/>
    <mergeCell ref="D22:E22"/>
    <mergeCell ref="L17:M17"/>
    <mergeCell ref="N17:O17"/>
    <mergeCell ref="L18:M18"/>
    <mergeCell ref="N18:O18"/>
    <mergeCell ref="F17:G17"/>
    <mergeCell ref="F18:G18"/>
    <mergeCell ref="H17:I17"/>
    <mergeCell ref="H18:I18"/>
    <mergeCell ref="J17:K17"/>
    <mergeCell ref="J18:K18"/>
    <mergeCell ref="F15:G15"/>
    <mergeCell ref="F16:G16"/>
    <mergeCell ref="D12:E12"/>
    <mergeCell ref="H16:I16"/>
    <mergeCell ref="J16:K16"/>
    <mergeCell ref="J15:K15"/>
    <mergeCell ref="L15:M15"/>
    <mergeCell ref="L16:M16"/>
    <mergeCell ref="D14:E14"/>
    <mergeCell ref="D15:E15"/>
    <mergeCell ref="A13:O13"/>
    <mergeCell ref="J14:K14"/>
    <mergeCell ref="H15:I15"/>
    <mergeCell ref="N16:O16"/>
    <mergeCell ref="B12:C12"/>
    <mergeCell ref="D16:E16"/>
    <mergeCell ref="N15:O15"/>
    <mergeCell ref="N14:O14"/>
    <mergeCell ref="F64:G64"/>
    <mergeCell ref="D65:E65"/>
    <mergeCell ref="F65:G65"/>
    <mergeCell ref="N71:O71"/>
    <mergeCell ref="N69:O69"/>
    <mergeCell ref="H70:I70"/>
    <mergeCell ref="J70:K70"/>
    <mergeCell ref="H64:I64"/>
    <mergeCell ref="L70:M70"/>
    <mergeCell ref="H67:I67"/>
    <mergeCell ref="N67:O67"/>
    <mergeCell ref="N65:O65"/>
    <mergeCell ref="N66:O66"/>
    <mergeCell ref="H65:I65"/>
    <mergeCell ref="J65:K65"/>
    <mergeCell ref="L66:M66"/>
    <mergeCell ref="H66:I66"/>
    <mergeCell ref="J66:K66"/>
    <mergeCell ref="J67:K67"/>
    <mergeCell ref="N68:O68"/>
    <mergeCell ref="H68:I68"/>
    <mergeCell ref="J68:K68"/>
    <mergeCell ref="L68:M68"/>
    <mergeCell ref="L72:M72"/>
    <mergeCell ref="N72:O72"/>
    <mergeCell ref="D73:E73"/>
    <mergeCell ref="F73:G73"/>
    <mergeCell ref="H73:I73"/>
    <mergeCell ref="J73:K73"/>
    <mergeCell ref="L73:M73"/>
    <mergeCell ref="H69:I69"/>
    <mergeCell ref="N73:O73"/>
    <mergeCell ref="D72:E72"/>
    <mergeCell ref="F72:G72"/>
    <mergeCell ref="H72:I72"/>
    <mergeCell ref="J72:K72"/>
    <mergeCell ref="N70:O70"/>
    <mergeCell ref="J71:K71"/>
    <mergeCell ref="K54:L54"/>
    <mergeCell ref="M54:O54"/>
    <mergeCell ref="A60:O60"/>
    <mergeCell ref="B59:C59"/>
    <mergeCell ref="D59:E59"/>
    <mergeCell ref="F59:G59"/>
    <mergeCell ref="B54:C54"/>
    <mergeCell ref="F54:G54"/>
    <mergeCell ref="A64:C64"/>
    <mergeCell ref="A63:C63"/>
    <mergeCell ref="D63:E63"/>
    <mergeCell ref="F63:G63"/>
    <mergeCell ref="F61:I61"/>
    <mergeCell ref="F62:G62"/>
    <mergeCell ref="D61:E62"/>
    <mergeCell ref="K58:L58"/>
    <mergeCell ref="L63:M63"/>
    <mergeCell ref="L62:M62"/>
    <mergeCell ref="N61:O62"/>
    <mergeCell ref="N63:O63"/>
    <mergeCell ref="L64:M64"/>
    <mergeCell ref="M59:O59"/>
    <mergeCell ref="N64:O64"/>
    <mergeCell ref="J64:K64"/>
    <mergeCell ref="A73:C73"/>
    <mergeCell ref="D66:E66"/>
    <mergeCell ref="F66:G66"/>
    <mergeCell ref="A71:C71"/>
    <mergeCell ref="D69:E69"/>
    <mergeCell ref="F69:G69"/>
    <mergeCell ref="A70:C70"/>
    <mergeCell ref="A69:C69"/>
    <mergeCell ref="A72:C72"/>
    <mergeCell ref="D68:E68"/>
    <mergeCell ref="A67:C67"/>
    <mergeCell ref="A68:C68"/>
    <mergeCell ref="F68:G68"/>
    <mergeCell ref="D67:E67"/>
    <mergeCell ref="F67:G67"/>
    <mergeCell ref="A65:C65"/>
    <mergeCell ref="L71:M71"/>
    <mergeCell ref="D71:E71"/>
    <mergeCell ref="F71:G71"/>
    <mergeCell ref="H71:I71"/>
    <mergeCell ref="A66:C66"/>
    <mergeCell ref="L67:M67"/>
    <mergeCell ref="B58:C58"/>
    <mergeCell ref="D58:E58"/>
    <mergeCell ref="J69:K69"/>
    <mergeCell ref="L69:M69"/>
    <mergeCell ref="D70:E70"/>
    <mergeCell ref="F70:G70"/>
    <mergeCell ref="L65:M65"/>
    <mergeCell ref="F58:G58"/>
    <mergeCell ref="H59:J59"/>
    <mergeCell ref="H58:J58"/>
    <mergeCell ref="H63:I63"/>
    <mergeCell ref="D64:E64"/>
    <mergeCell ref="M58:O58"/>
    <mergeCell ref="K59:L59"/>
    <mergeCell ref="J63:K63"/>
    <mergeCell ref="J61:M61"/>
    <mergeCell ref="J62:K62"/>
    <mergeCell ref="B53:C53"/>
    <mergeCell ref="D53:E53"/>
    <mergeCell ref="A52:O52"/>
    <mergeCell ref="F53:G53"/>
    <mergeCell ref="H53:J53"/>
    <mergeCell ref="K53:L53"/>
    <mergeCell ref="M53:O53"/>
    <mergeCell ref="H62:I62"/>
    <mergeCell ref="A61:C62"/>
    <mergeCell ref="M57:O57"/>
    <mergeCell ref="B57:C57"/>
    <mergeCell ref="D57:E57"/>
    <mergeCell ref="F57:G57"/>
    <mergeCell ref="H57:J57"/>
    <mergeCell ref="M55:O55"/>
    <mergeCell ref="B55:C55"/>
    <mergeCell ref="H55:J55"/>
    <mergeCell ref="F55:G55"/>
    <mergeCell ref="D55:E55"/>
    <mergeCell ref="K55:L55"/>
    <mergeCell ref="B56:C56"/>
    <mergeCell ref="K57:L57"/>
    <mergeCell ref="H56:J56"/>
    <mergeCell ref="M56:O56"/>
    <mergeCell ref="O45:O46"/>
    <mergeCell ref="G45:I45"/>
    <mergeCell ref="J45:L45"/>
    <mergeCell ref="M45:N45"/>
    <mergeCell ref="A51:C51"/>
    <mergeCell ref="A47:C47"/>
    <mergeCell ref="A49:C49"/>
    <mergeCell ref="A38:O38"/>
    <mergeCell ref="D27:E27"/>
    <mergeCell ref="L27:M27"/>
    <mergeCell ref="F27:G27"/>
    <mergeCell ref="F29:G29"/>
    <mergeCell ref="F30:G30"/>
    <mergeCell ref="F31:G31"/>
    <mergeCell ref="F33:G33"/>
    <mergeCell ref="J29:K29"/>
    <mergeCell ref="H29:I29"/>
    <mergeCell ref="H30:I30"/>
    <mergeCell ref="H31:I31"/>
    <mergeCell ref="H33:I33"/>
    <mergeCell ref="J31:K31"/>
    <mergeCell ref="L33:M33"/>
    <mergeCell ref="J33:K33"/>
    <mergeCell ref="L34:M34"/>
    <mergeCell ref="B11:C11"/>
    <mergeCell ref="H14:I14"/>
    <mergeCell ref="A5:O5"/>
    <mergeCell ref="A6:O6"/>
    <mergeCell ref="N1:O1"/>
    <mergeCell ref="N2:O2"/>
    <mergeCell ref="A3:O3"/>
    <mergeCell ref="A4:O4"/>
    <mergeCell ref="A7:O7"/>
    <mergeCell ref="A9:O9"/>
    <mergeCell ref="F11:G11"/>
    <mergeCell ref="F12:G12"/>
    <mergeCell ref="H11:I11"/>
    <mergeCell ref="J11:K11"/>
    <mergeCell ref="L11:M11"/>
    <mergeCell ref="N11:O11"/>
    <mergeCell ref="D11:E11"/>
    <mergeCell ref="L14:M14"/>
    <mergeCell ref="L12:M12"/>
    <mergeCell ref="N12:O12"/>
    <mergeCell ref="H12:I12"/>
    <mergeCell ref="J12:K12"/>
    <mergeCell ref="F14:G14"/>
    <mergeCell ref="C10:D10"/>
  </mergeCells>
  <phoneticPr fontId="3" type="noConversion"/>
  <pageMargins left="0.59055118110236227" right="0.59055118110236227" top="0.78740157480314965" bottom="0.39370078740157483" header="0.31496062992125984" footer="0.15748031496062992"/>
  <pageSetup paperSize="9" scale="49" fitToHeight="2" orientation="landscape" horizontalDpi="1200" verticalDpi="1200" copies="4" r:id="rId1"/>
  <headerFooter alignWithMargins="0"/>
</worksheet>
</file>

<file path=xl/worksheets/sheet8.xml><?xml version="1.0" encoding="utf-8"?>
<worksheet xmlns="http://schemas.openxmlformats.org/spreadsheetml/2006/main" xmlns:r="http://schemas.openxmlformats.org/officeDocument/2006/relationships">
  <sheetPr enableFormatConditionsCalculation="0">
    <tabColor rgb="FFFFFF00"/>
    <pageSetUpPr fitToPage="1"/>
  </sheetPr>
  <dimension ref="A1:AF104"/>
  <sheetViews>
    <sheetView topLeftCell="A6" zoomScale="80" zoomScaleNormal="80" zoomScaleSheetLayoutView="70" zoomScalePageLayoutView="70" workbookViewId="0">
      <selection activeCell="L79" sqref="L79:M79"/>
    </sheetView>
  </sheetViews>
  <sheetFormatPr defaultRowHeight="20.25" outlineLevelRow="1"/>
  <cols>
    <col min="1" max="1" width="5.7109375" style="24" customWidth="1"/>
    <col min="2" max="2" width="4.42578125" style="24" customWidth="1"/>
    <col min="3" max="3" width="28.7109375" style="24" customWidth="1"/>
    <col min="4" max="6" width="8.42578125" style="24" customWidth="1"/>
    <col min="7" max="9" width="11.28515625" style="24" customWidth="1"/>
    <col min="10" max="10" width="8.7109375" style="24" customWidth="1"/>
    <col min="11" max="11" width="7" style="24" customWidth="1"/>
    <col min="12" max="12" width="8.5703125" style="24" customWidth="1"/>
    <col min="13" max="13" width="12.28515625" style="24" customWidth="1"/>
    <col min="14" max="14" width="12.5703125" style="24" customWidth="1"/>
    <col min="15" max="15" width="14.5703125" style="24" customWidth="1"/>
    <col min="16" max="16" width="14" style="24" customWidth="1"/>
    <col min="17" max="17" width="12.5703125" style="24" customWidth="1"/>
    <col min="18" max="18" width="12.28515625" style="24" customWidth="1"/>
    <col min="19" max="19" width="14.5703125" style="24" customWidth="1"/>
    <col min="20" max="20" width="14" style="24" customWidth="1"/>
    <col min="21" max="21" width="12.5703125" style="24" customWidth="1"/>
    <col min="22" max="22" width="12.28515625" style="24" customWidth="1"/>
    <col min="23" max="23" width="14.85546875" style="24" customWidth="1"/>
    <col min="24" max="24" width="14" style="24" customWidth="1"/>
    <col min="25" max="25" width="12.5703125" style="24" customWidth="1"/>
    <col min="26" max="26" width="12.28515625" style="24" customWidth="1"/>
    <col min="27" max="27" width="14.5703125" style="24" customWidth="1"/>
    <col min="28" max="28" width="13.7109375" style="24" customWidth="1"/>
    <col min="29" max="29" width="12.28515625" style="24" customWidth="1"/>
    <col min="30" max="30" width="12" style="24" customWidth="1"/>
    <col min="31" max="31" width="14.5703125" style="24" customWidth="1"/>
    <col min="32" max="32" width="14" style="24" customWidth="1"/>
    <col min="33" max="16384" width="9.140625" style="24"/>
  </cols>
  <sheetData>
    <row r="1" spans="1:32" ht="18.75" hidden="1" customHeight="1" outlineLevel="1">
      <c r="A1" s="12"/>
      <c r="B1" s="12"/>
      <c r="C1" s="12"/>
      <c r="D1" s="12"/>
      <c r="E1" s="12"/>
      <c r="F1" s="12"/>
      <c r="G1" s="12"/>
      <c r="H1" s="12"/>
      <c r="I1" s="12"/>
      <c r="J1" s="12"/>
      <c r="K1" s="12"/>
      <c r="L1" s="12"/>
      <c r="M1" s="12"/>
      <c r="N1" s="12"/>
      <c r="O1" s="12"/>
      <c r="P1" s="12"/>
      <c r="R1" s="26"/>
      <c r="S1" s="26"/>
      <c r="T1" s="26"/>
      <c r="U1" s="26"/>
      <c r="V1" s="26"/>
      <c r="AD1" s="460" t="s">
        <v>240</v>
      </c>
      <c r="AE1" s="460"/>
      <c r="AF1" s="460"/>
    </row>
    <row r="2" spans="1:32" ht="18.75" hidden="1" customHeight="1" outlineLevel="1">
      <c r="A2" s="12"/>
      <c r="B2" s="12"/>
      <c r="C2" s="12"/>
      <c r="D2" s="12"/>
      <c r="E2" s="12"/>
      <c r="F2" s="12"/>
      <c r="G2" s="12"/>
      <c r="H2" s="12"/>
      <c r="I2" s="12"/>
      <c r="J2" s="12"/>
      <c r="K2" s="12"/>
      <c r="L2" s="12"/>
      <c r="M2" s="12"/>
      <c r="N2" s="12"/>
      <c r="O2" s="12"/>
      <c r="P2" s="12"/>
      <c r="R2" s="26"/>
      <c r="S2" s="26"/>
      <c r="T2" s="26"/>
      <c r="U2" s="26"/>
      <c r="V2" s="26"/>
      <c r="AD2" s="460"/>
      <c r="AE2" s="460"/>
      <c r="AF2" s="460"/>
    </row>
    <row r="3" spans="1:32" s="85" customFormat="1" ht="18.75" customHeight="1" collapsed="1">
      <c r="A3" s="527" t="s">
        <v>251</v>
      </c>
      <c r="B3" s="527"/>
      <c r="C3" s="527"/>
      <c r="D3" s="527"/>
      <c r="E3" s="527"/>
      <c r="F3" s="527"/>
      <c r="G3" s="527"/>
      <c r="H3" s="527"/>
      <c r="I3" s="527"/>
      <c r="J3" s="527"/>
      <c r="K3" s="527"/>
      <c r="L3" s="527"/>
      <c r="M3" s="527"/>
      <c r="N3" s="527"/>
      <c r="O3" s="527"/>
      <c r="P3" s="527"/>
      <c r="Q3" s="527"/>
      <c r="R3" s="527"/>
      <c r="S3" s="527"/>
      <c r="T3" s="527"/>
      <c r="U3" s="527"/>
      <c r="V3" s="527"/>
      <c r="W3" s="527"/>
      <c r="X3" s="527"/>
      <c r="Y3" s="527"/>
      <c r="Z3" s="527"/>
      <c r="AA3" s="527"/>
      <c r="AB3" s="527"/>
      <c r="AC3" s="527"/>
      <c r="AD3" s="527"/>
      <c r="AE3" s="527"/>
      <c r="AF3" s="527"/>
    </row>
    <row r="4" spans="1:32">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row>
    <row r="5" spans="1:32" ht="27.75" customHeight="1">
      <c r="A5" s="548" t="s">
        <v>52</v>
      </c>
      <c r="B5" s="572" t="s">
        <v>195</v>
      </c>
      <c r="C5" s="573"/>
      <c r="D5" s="555" t="s">
        <v>196</v>
      </c>
      <c r="E5" s="556"/>
      <c r="F5" s="557"/>
      <c r="G5" s="539" t="s">
        <v>349</v>
      </c>
      <c r="H5" s="539"/>
      <c r="I5" s="539"/>
      <c r="J5" s="539"/>
      <c r="K5" s="539"/>
      <c r="L5" s="539"/>
      <c r="M5" s="539"/>
      <c r="N5" s="555" t="s">
        <v>197</v>
      </c>
      <c r="O5" s="556"/>
      <c r="P5" s="556"/>
      <c r="Q5" s="557"/>
      <c r="R5" s="578" t="s">
        <v>306</v>
      </c>
      <c r="S5" s="579"/>
      <c r="T5" s="579"/>
      <c r="U5" s="579"/>
      <c r="V5" s="579"/>
      <c r="W5" s="579"/>
      <c r="X5" s="579"/>
      <c r="Y5" s="579"/>
      <c r="Z5" s="579"/>
      <c r="AA5" s="579"/>
      <c r="AB5" s="579"/>
      <c r="AC5" s="579"/>
      <c r="AD5" s="579"/>
      <c r="AE5" s="579"/>
      <c r="AF5" s="580"/>
    </row>
    <row r="6" spans="1:32" ht="48.75" customHeight="1">
      <c r="A6" s="550"/>
      <c r="B6" s="574"/>
      <c r="C6" s="575"/>
      <c r="D6" s="561"/>
      <c r="E6" s="562"/>
      <c r="F6" s="563"/>
      <c r="G6" s="539"/>
      <c r="H6" s="539"/>
      <c r="I6" s="539"/>
      <c r="J6" s="539"/>
      <c r="K6" s="539"/>
      <c r="L6" s="539"/>
      <c r="M6" s="539"/>
      <c r="N6" s="561"/>
      <c r="O6" s="562"/>
      <c r="P6" s="562"/>
      <c r="Q6" s="563"/>
      <c r="R6" s="567" t="s">
        <v>198</v>
      </c>
      <c r="S6" s="568"/>
      <c r="T6" s="569"/>
      <c r="U6" s="567" t="s">
        <v>199</v>
      </c>
      <c r="V6" s="568"/>
      <c r="W6" s="569"/>
      <c r="X6" s="567" t="s">
        <v>41</v>
      </c>
      <c r="Y6" s="568"/>
      <c r="Z6" s="569"/>
      <c r="AA6" s="578" t="s">
        <v>200</v>
      </c>
      <c r="AB6" s="579"/>
      <c r="AC6" s="580"/>
      <c r="AD6" s="578" t="s">
        <v>201</v>
      </c>
      <c r="AE6" s="579"/>
      <c r="AF6" s="580"/>
    </row>
    <row r="7" spans="1:32" ht="18.75" customHeight="1">
      <c r="A7" s="61">
        <v>1</v>
      </c>
      <c r="B7" s="570">
        <v>2</v>
      </c>
      <c r="C7" s="571"/>
      <c r="D7" s="464">
        <v>3</v>
      </c>
      <c r="E7" s="475"/>
      <c r="F7" s="465"/>
      <c r="G7" s="464">
        <v>4</v>
      </c>
      <c r="H7" s="475"/>
      <c r="I7" s="475"/>
      <c r="J7" s="475"/>
      <c r="K7" s="475"/>
      <c r="L7" s="475"/>
      <c r="M7" s="465"/>
      <c r="N7" s="464">
        <v>5</v>
      </c>
      <c r="O7" s="475"/>
      <c r="P7" s="475"/>
      <c r="Q7" s="465"/>
      <c r="R7" s="464">
        <v>6</v>
      </c>
      <c r="S7" s="475"/>
      <c r="T7" s="465"/>
      <c r="U7" s="464">
        <v>7</v>
      </c>
      <c r="V7" s="475"/>
      <c r="W7" s="465"/>
      <c r="X7" s="498">
        <v>8</v>
      </c>
      <c r="Y7" s="504"/>
      <c r="Z7" s="499"/>
      <c r="AA7" s="498">
        <v>9</v>
      </c>
      <c r="AB7" s="504"/>
      <c r="AC7" s="499"/>
      <c r="AD7" s="498">
        <v>10</v>
      </c>
      <c r="AE7" s="504"/>
      <c r="AF7" s="499"/>
    </row>
    <row r="8" spans="1:32" ht="20.100000000000001" customHeight="1">
      <c r="A8" s="61"/>
      <c r="B8" s="576"/>
      <c r="C8" s="577"/>
      <c r="D8" s="488"/>
      <c r="E8" s="489"/>
      <c r="F8" s="490"/>
      <c r="G8" s="488"/>
      <c r="H8" s="489"/>
      <c r="I8" s="489"/>
      <c r="J8" s="489"/>
      <c r="K8" s="489"/>
      <c r="L8" s="489"/>
      <c r="M8" s="490"/>
      <c r="N8" s="481"/>
      <c r="O8" s="482"/>
      <c r="P8" s="482"/>
      <c r="Q8" s="483"/>
      <c r="R8" s="481"/>
      <c r="S8" s="482"/>
      <c r="T8" s="483"/>
      <c r="U8" s="481"/>
      <c r="V8" s="482"/>
      <c r="W8" s="483"/>
      <c r="X8" s="481"/>
      <c r="Y8" s="482"/>
      <c r="Z8" s="483"/>
      <c r="AA8" s="481"/>
      <c r="AB8" s="482"/>
      <c r="AC8" s="483"/>
      <c r="AD8" s="481"/>
      <c r="AE8" s="482"/>
      <c r="AF8" s="483"/>
    </row>
    <row r="9" spans="1:32" ht="20.100000000000001" customHeight="1">
      <c r="A9" s="61"/>
      <c r="B9" s="576"/>
      <c r="C9" s="577"/>
      <c r="D9" s="488"/>
      <c r="E9" s="489"/>
      <c r="F9" s="490"/>
      <c r="G9" s="488"/>
      <c r="H9" s="489"/>
      <c r="I9" s="489"/>
      <c r="J9" s="489"/>
      <c r="K9" s="489"/>
      <c r="L9" s="489"/>
      <c r="M9" s="490"/>
      <c r="N9" s="481"/>
      <c r="O9" s="482"/>
      <c r="P9" s="482"/>
      <c r="Q9" s="483"/>
      <c r="R9" s="481"/>
      <c r="S9" s="482"/>
      <c r="T9" s="483"/>
      <c r="U9" s="481"/>
      <c r="V9" s="482"/>
      <c r="W9" s="483"/>
      <c r="X9" s="481"/>
      <c r="Y9" s="482"/>
      <c r="Z9" s="483"/>
      <c r="AA9" s="481"/>
      <c r="AB9" s="482"/>
      <c r="AC9" s="483"/>
      <c r="AD9" s="481"/>
      <c r="AE9" s="482"/>
      <c r="AF9" s="483"/>
    </row>
    <row r="10" spans="1:32" ht="20.100000000000001" customHeight="1">
      <c r="A10" s="61"/>
      <c r="B10" s="576"/>
      <c r="C10" s="577"/>
      <c r="D10" s="488"/>
      <c r="E10" s="489"/>
      <c r="F10" s="490"/>
      <c r="G10" s="488"/>
      <c r="H10" s="489"/>
      <c r="I10" s="489"/>
      <c r="J10" s="489"/>
      <c r="K10" s="489"/>
      <c r="L10" s="489"/>
      <c r="M10" s="490"/>
      <c r="N10" s="481"/>
      <c r="O10" s="482"/>
      <c r="P10" s="482"/>
      <c r="Q10" s="483"/>
      <c r="R10" s="481"/>
      <c r="S10" s="482"/>
      <c r="T10" s="483"/>
      <c r="U10" s="481"/>
      <c r="V10" s="482"/>
      <c r="W10" s="483"/>
      <c r="X10" s="481"/>
      <c r="Y10" s="482"/>
      <c r="Z10" s="483"/>
      <c r="AA10" s="481"/>
      <c r="AB10" s="482"/>
      <c r="AC10" s="483"/>
      <c r="AD10" s="481"/>
      <c r="AE10" s="482"/>
      <c r="AF10" s="483"/>
    </row>
    <row r="11" spans="1:32" ht="20.100000000000001" customHeight="1">
      <c r="A11" s="61"/>
      <c r="B11" s="576"/>
      <c r="C11" s="577"/>
      <c r="D11" s="488"/>
      <c r="E11" s="489"/>
      <c r="F11" s="490"/>
      <c r="G11" s="488"/>
      <c r="H11" s="489"/>
      <c r="I11" s="489"/>
      <c r="J11" s="489"/>
      <c r="K11" s="489"/>
      <c r="L11" s="489"/>
      <c r="M11" s="490"/>
      <c r="N11" s="481"/>
      <c r="O11" s="482"/>
      <c r="P11" s="482"/>
      <c r="Q11" s="483"/>
      <c r="R11" s="481"/>
      <c r="S11" s="482"/>
      <c r="T11" s="483"/>
      <c r="U11" s="481"/>
      <c r="V11" s="482"/>
      <c r="W11" s="483"/>
      <c r="X11" s="481"/>
      <c r="Y11" s="482"/>
      <c r="Z11" s="483"/>
      <c r="AA11" s="481"/>
      <c r="AB11" s="482"/>
      <c r="AC11" s="483"/>
      <c r="AD11" s="481"/>
      <c r="AE11" s="482"/>
      <c r="AF11" s="483"/>
    </row>
    <row r="12" spans="1:32" ht="24.95" customHeight="1">
      <c r="A12" s="552" t="s">
        <v>57</v>
      </c>
      <c r="B12" s="553"/>
      <c r="C12" s="553"/>
      <c r="D12" s="553"/>
      <c r="E12" s="553"/>
      <c r="F12" s="553"/>
      <c r="G12" s="553"/>
      <c r="H12" s="553"/>
      <c r="I12" s="553"/>
      <c r="J12" s="553"/>
      <c r="K12" s="553"/>
      <c r="L12" s="553"/>
      <c r="M12" s="554"/>
      <c r="N12" s="481"/>
      <c r="O12" s="482"/>
      <c r="P12" s="482"/>
      <c r="Q12" s="483"/>
      <c r="R12" s="481"/>
      <c r="S12" s="482"/>
      <c r="T12" s="483"/>
      <c r="U12" s="481"/>
      <c r="V12" s="482"/>
      <c r="W12" s="483"/>
      <c r="X12" s="481"/>
      <c r="Y12" s="482"/>
      <c r="Z12" s="483"/>
      <c r="AA12" s="481"/>
      <c r="AB12" s="482"/>
      <c r="AC12" s="483"/>
      <c r="AD12" s="481"/>
      <c r="AE12" s="482"/>
      <c r="AF12" s="483"/>
    </row>
    <row r="13" spans="1:32" ht="11.25" customHeight="1">
      <c r="A13" s="50"/>
      <c r="B13" s="50"/>
      <c r="C13" s="50"/>
      <c r="D13" s="50"/>
      <c r="E13" s="50"/>
      <c r="F13" s="50"/>
      <c r="G13" s="50"/>
      <c r="H13" s="50"/>
      <c r="I13" s="50"/>
      <c r="J13" s="50"/>
      <c r="K13" s="50"/>
      <c r="L13" s="50"/>
      <c r="M13" s="50"/>
      <c r="N13" s="49"/>
      <c r="O13" s="49"/>
      <c r="P13" s="49"/>
      <c r="Q13" s="49"/>
      <c r="R13" s="49"/>
      <c r="S13" s="49"/>
      <c r="T13" s="49"/>
      <c r="U13" s="49"/>
      <c r="V13" s="49"/>
      <c r="W13" s="49"/>
      <c r="X13" s="49"/>
      <c r="Y13" s="49"/>
      <c r="Z13" s="49"/>
      <c r="AA13" s="49"/>
      <c r="AB13" s="49"/>
      <c r="AC13" s="49"/>
      <c r="AD13" s="49"/>
      <c r="AE13" s="62"/>
      <c r="AF13" s="62"/>
    </row>
    <row r="14" spans="1:32" ht="10.5" customHeight="1">
      <c r="A14" s="63"/>
      <c r="B14" s="63"/>
      <c r="C14" s="63"/>
      <c r="D14" s="63"/>
      <c r="E14" s="63"/>
      <c r="F14" s="63"/>
      <c r="G14" s="63"/>
      <c r="H14" s="63"/>
      <c r="I14" s="63"/>
      <c r="J14" s="63"/>
      <c r="K14" s="63"/>
      <c r="L14" s="63"/>
      <c r="M14" s="63"/>
      <c r="N14" s="64"/>
      <c r="O14" s="64"/>
      <c r="P14" s="64"/>
      <c r="Q14" s="64"/>
      <c r="R14" s="65"/>
      <c r="S14" s="65"/>
      <c r="T14" s="65"/>
      <c r="U14" s="65"/>
      <c r="V14" s="65"/>
      <c r="W14" s="65"/>
      <c r="X14" s="66"/>
      <c r="Y14" s="66"/>
      <c r="Z14" s="66"/>
      <c r="AA14" s="66"/>
      <c r="AB14" s="66"/>
      <c r="AC14" s="66"/>
      <c r="AD14" s="66"/>
      <c r="AE14" s="67"/>
      <c r="AF14" s="67"/>
    </row>
    <row r="15" spans="1:32" s="86" customFormat="1" ht="18.75" customHeight="1">
      <c r="A15" s="527" t="s">
        <v>252</v>
      </c>
      <c r="B15" s="527"/>
      <c r="C15" s="527"/>
      <c r="D15" s="527"/>
      <c r="E15" s="527"/>
      <c r="F15" s="527"/>
      <c r="G15" s="527"/>
      <c r="H15" s="527"/>
      <c r="I15" s="527"/>
      <c r="J15" s="527"/>
      <c r="K15" s="527"/>
      <c r="L15" s="527"/>
      <c r="M15" s="527"/>
      <c r="N15" s="527"/>
      <c r="O15" s="527"/>
      <c r="P15" s="527"/>
      <c r="Q15" s="527"/>
      <c r="R15" s="527"/>
      <c r="S15" s="527"/>
      <c r="T15" s="527"/>
      <c r="U15" s="527"/>
      <c r="V15" s="527"/>
      <c r="W15" s="527"/>
      <c r="X15" s="527"/>
      <c r="Y15" s="527"/>
      <c r="Z15" s="527"/>
      <c r="AA15" s="527"/>
      <c r="AB15" s="527"/>
      <c r="AC15" s="527"/>
      <c r="AD15" s="527"/>
      <c r="AE15" s="527"/>
      <c r="AF15" s="527"/>
    </row>
    <row r="16" spans="1:32" s="59" customFormat="1" ht="18.75" customHeight="1"/>
    <row r="17" spans="1:32" ht="29.25" customHeight="1">
      <c r="A17" s="598" t="s">
        <v>52</v>
      </c>
      <c r="B17" s="572" t="s">
        <v>202</v>
      </c>
      <c r="C17" s="573"/>
      <c r="D17" s="555" t="s">
        <v>195</v>
      </c>
      <c r="E17" s="556"/>
      <c r="F17" s="556"/>
      <c r="G17" s="557"/>
      <c r="H17" s="539" t="s">
        <v>349</v>
      </c>
      <c r="I17" s="539"/>
      <c r="J17" s="539"/>
      <c r="K17" s="539"/>
      <c r="L17" s="539"/>
      <c r="M17" s="539"/>
      <c r="N17" s="539"/>
      <c r="O17" s="539"/>
      <c r="P17" s="539"/>
      <c r="Q17" s="539"/>
      <c r="R17" s="539" t="s">
        <v>203</v>
      </c>
      <c r="S17" s="539"/>
      <c r="T17" s="539"/>
      <c r="U17" s="539"/>
      <c r="V17" s="539"/>
      <c r="W17" s="564" t="s">
        <v>204</v>
      </c>
      <c r="X17" s="564"/>
      <c r="Y17" s="564"/>
      <c r="Z17" s="564"/>
      <c r="AA17" s="564"/>
      <c r="AB17" s="564"/>
      <c r="AC17" s="564"/>
      <c r="AD17" s="564"/>
      <c r="AE17" s="564"/>
      <c r="AF17" s="564"/>
    </row>
    <row r="18" spans="1:32" ht="24.95" customHeight="1">
      <c r="A18" s="598"/>
      <c r="B18" s="581"/>
      <c r="C18" s="582"/>
      <c r="D18" s="558"/>
      <c r="E18" s="559"/>
      <c r="F18" s="559"/>
      <c r="G18" s="560"/>
      <c r="H18" s="539"/>
      <c r="I18" s="539"/>
      <c r="J18" s="539"/>
      <c r="K18" s="539"/>
      <c r="L18" s="539"/>
      <c r="M18" s="539"/>
      <c r="N18" s="539"/>
      <c r="O18" s="539"/>
      <c r="P18" s="539"/>
      <c r="Q18" s="539"/>
      <c r="R18" s="539"/>
      <c r="S18" s="539"/>
      <c r="T18" s="539"/>
      <c r="U18" s="539"/>
      <c r="V18" s="539"/>
      <c r="W18" s="564" t="s">
        <v>310</v>
      </c>
      <c r="X18" s="564"/>
      <c r="Y18" s="555" t="s">
        <v>246</v>
      </c>
      <c r="Z18" s="557"/>
      <c r="AA18" s="555" t="s">
        <v>247</v>
      </c>
      <c r="AB18" s="557"/>
      <c r="AC18" s="555" t="s">
        <v>274</v>
      </c>
      <c r="AD18" s="557"/>
      <c r="AE18" s="555" t="s">
        <v>275</v>
      </c>
      <c r="AF18" s="557"/>
    </row>
    <row r="19" spans="1:32" ht="24.95" customHeight="1">
      <c r="A19" s="598"/>
      <c r="B19" s="574"/>
      <c r="C19" s="575"/>
      <c r="D19" s="561"/>
      <c r="E19" s="562"/>
      <c r="F19" s="562"/>
      <c r="G19" s="563"/>
      <c r="H19" s="539"/>
      <c r="I19" s="539"/>
      <c r="J19" s="539"/>
      <c r="K19" s="539"/>
      <c r="L19" s="539"/>
      <c r="M19" s="539"/>
      <c r="N19" s="539"/>
      <c r="O19" s="539"/>
      <c r="P19" s="539"/>
      <c r="Q19" s="539"/>
      <c r="R19" s="539"/>
      <c r="S19" s="539"/>
      <c r="T19" s="539"/>
      <c r="U19" s="539"/>
      <c r="V19" s="539"/>
      <c r="W19" s="564"/>
      <c r="X19" s="564"/>
      <c r="Y19" s="561"/>
      <c r="Z19" s="563"/>
      <c r="AA19" s="561"/>
      <c r="AB19" s="563"/>
      <c r="AC19" s="561"/>
      <c r="AD19" s="563"/>
      <c r="AE19" s="561"/>
      <c r="AF19" s="563"/>
    </row>
    <row r="20" spans="1:32" ht="18.75" customHeight="1">
      <c r="A20" s="68">
        <v>1</v>
      </c>
      <c r="B20" s="570">
        <v>2</v>
      </c>
      <c r="C20" s="571"/>
      <c r="D20" s="464">
        <v>3</v>
      </c>
      <c r="E20" s="475"/>
      <c r="F20" s="475"/>
      <c r="G20" s="465"/>
      <c r="H20" s="447">
        <v>4</v>
      </c>
      <c r="I20" s="447"/>
      <c r="J20" s="447"/>
      <c r="K20" s="447"/>
      <c r="L20" s="447"/>
      <c r="M20" s="447"/>
      <c r="N20" s="447"/>
      <c r="O20" s="447"/>
      <c r="P20" s="447"/>
      <c r="Q20" s="447"/>
      <c r="R20" s="447">
        <v>5</v>
      </c>
      <c r="S20" s="447"/>
      <c r="T20" s="447"/>
      <c r="U20" s="447"/>
      <c r="V20" s="447"/>
      <c r="W20" s="447">
        <v>6</v>
      </c>
      <c r="X20" s="447"/>
      <c r="Y20" s="503">
        <v>7</v>
      </c>
      <c r="Z20" s="503"/>
      <c r="AA20" s="503">
        <v>8</v>
      </c>
      <c r="AB20" s="503"/>
      <c r="AC20" s="503">
        <v>9</v>
      </c>
      <c r="AD20" s="503"/>
      <c r="AE20" s="503">
        <v>10</v>
      </c>
      <c r="AF20" s="503"/>
    </row>
    <row r="21" spans="1:32" ht="20.100000000000001" customHeight="1">
      <c r="A21" s="69"/>
      <c r="B21" s="565"/>
      <c r="C21" s="566"/>
      <c r="D21" s="488"/>
      <c r="E21" s="489"/>
      <c r="F21" s="489"/>
      <c r="G21" s="490"/>
      <c r="H21" s="492"/>
      <c r="I21" s="492"/>
      <c r="J21" s="492"/>
      <c r="K21" s="492"/>
      <c r="L21" s="492"/>
      <c r="M21" s="492"/>
      <c r="N21" s="492"/>
      <c r="O21" s="492"/>
      <c r="P21" s="492"/>
      <c r="Q21" s="492"/>
      <c r="R21" s="546"/>
      <c r="S21" s="546"/>
      <c r="T21" s="546"/>
      <c r="U21" s="546"/>
      <c r="V21" s="546"/>
      <c r="W21" s="491"/>
      <c r="X21" s="491"/>
      <c r="Y21" s="491"/>
      <c r="Z21" s="491"/>
      <c r="AA21" s="491"/>
      <c r="AB21" s="491"/>
      <c r="AC21" s="491"/>
      <c r="AD21" s="491"/>
      <c r="AE21" s="494"/>
      <c r="AF21" s="494"/>
    </row>
    <row r="22" spans="1:32" ht="20.100000000000001" customHeight="1">
      <c r="A22" s="69"/>
      <c r="B22" s="565"/>
      <c r="C22" s="566"/>
      <c r="D22" s="488"/>
      <c r="E22" s="489"/>
      <c r="F22" s="489"/>
      <c r="G22" s="490"/>
      <c r="H22" s="492"/>
      <c r="I22" s="492"/>
      <c r="J22" s="492"/>
      <c r="K22" s="492"/>
      <c r="L22" s="492"/>
      <c r="M22" s="492"/>
      <c r="N22" s="492"/>
      <c r="O22" s="492"/>
      <c r="P22" s="492"/>
      <c r="Q22" s="492"/>
      <c r="R22" s="546"/>
      <c r="S22" s="546"/>
      <c r="T22" s="546"/>
      <c r="U22" s="546"/>
      <c r="V22" s="546"/>
      <c r="W22" s="491"/>
      <c r="X22" s="491"/>
      <c r="Y22" s="491"/>
      <c r="Z22" s="491"/>
      <c r="AA22" s="491"/>
      <c r="AB22" s="491"/>
      <c r="AC22" s="491"/>
      <c r="AD22" s="491"/>
      <c r="AE22" s="494"/>
      <c r="AF22" s="494"/>
    </row>
    <row r="23" spans="1:32" ht="20.100000000000001" customHeight="1">
      <c r="A23" s="69"/>
      <c r="B23" s="565"/>
      <c r="C23" s="566"/>
      <c r="D23" s="488"/>
      <c r="E23" s="489"/>
      <c r="F23" s="489"/>
      <c r="G23" s="490"/>
      <c r="H23" s="492"/>
      <c r="I23" s="492"/>
      <c r="J23" s="492"/>
      <c r="K23" s="492"/>
      <c r="L23" s="492"/>
      <c r="M23" s="492"/>
      <c r="N23" s="492"/>
      <c r="O23" s="492"/>
      <c r="P23" s="492"/>
      <c r="Q23" s="492"/>
      <c r="R23" s="546"/>
      <c r="S23" s="546"/>
      <c r="T23" s="546"/>
      <c r="U23" s="546"/>
      <c r="V23" s="546"/>
      <c r="W23" s="491"/>
      <c r="X23" s="491"/>
      <c r="Y23" s="491"/>
      <c r="Z23" s="491"/>
      <c r="AA23" s="491"/>
      <c r="AB23" s="491"/>
      <c r="AC23" s="491"/>
      <c r="AD23" s="491"/>
      <c r="AE23" s="494"/>
      <c r="AF23" s="494"/>
    </row>
    <row r="24" spans="1:32" ht="20.100000000000001" customHeight="1">
      <c r="A24" s="69"/>
      <c r="B24" s="565"/>
      <c r="C24" s="566"/>
      <c r="D24" s="488"/>
      <c r="E24" s="489"/>
      <c r="F24" s="489"/>
      <c r="G24" s="490"/>
      <c r="H24" s="492"/>
      <c r="I24" s="492"/>
      <c r="J24" s="492"/>
      <c r="K24" s="492"/>
      <c r="L24" s="492"/>
      <c r="M24" s="492"/>
      <c r="N24" s="492"/>
      <c r="O24" s="492"/>
      <c r="P24" s="492"/>
      <c r="Q24" s="492"/>
      <c r="R24" s="546"/>
      <c r="S24" s="546"/>
      <c r="T24" s="546"/>
      <c r="U24" s="546"/>
      <c r="V24" s="546"/>
      <c r="W24" s="491"/>
      <c r="X24" s="491"/>
      <c r="Y24" s="491"/>
      <c r="Z24" s="491"/>
      <c r="AA24" s="491"/>
      <c r="AB24" s="491"/>
      <c r="AC24" s="491"/>
      <c r="AD24" s="491"/>
      <c r="AE24" s="494"/>
      <c r="AF24" s="494"/>
    </row>
    <row r="25" spans="1:32" ht="24.95" customHeight="1">
      <c r="A25" s="547" t="s">
        <v>57</v>
      </c>
      <c r="B25" s="547"/>
      <c r="C25" s="547"/>
      <c r="D25" s="547"/>
      <c r="E25" s="547"/>
      <c r="F25" s="547"/>
      <c r="G25" s="547"/>
      <c r="H25" s="547"/>
      <c r="I25" s="547"/>
      <c r="J25" s="547"/>
      <c r="K25" s="547"/>
      <c r="L25" s="547"/>
      <c r="M25" s="547"/>
      <c r="N25" s="547"/>
      <c r="O25" s="547"/>
      <c r="P25" s="547"/>
      <c r="Q25" s="547"/>
      <c r="R25" s="547"/>
      <c r="S25" s="547"/>
      <c r="T25" s="547"/>
      <c r="U25" s="547"/>
      <c r="V25" s="547"/>
      <c r="W25" s="491"/>
      <c r="X25" s="491"/>
      <c r="Y25" s="491"/>
      <c r="Z25" s="491"/>
      <c r="AA25" s="491"/>
      <c r="AB25" s="491"/>
      <c r="AC25" s="491"/>
      <c r="AD25" s="491"/>
      <c r="AE25" s="494"/>
      <c r="AF25" s="494"/>
    </row>
    <row r="26" spans="1:32">
      <c r="A26" s="12"/>
      <c r="B26" s="12"/>
      <c r="C26" s="12"/>
      <c r="D26" s="12"/>
      <c r="E26" s="12"/>
      <c r="F26" s="12"/>
      <c r="G26" s="12"/>
      <c r="H26" s="12"/>
      <c r="I26" s="12"/>
      <c r="J26" s="12"/>
      <c r="K26" s="12"/>
      <c r="L26" s="12"/>
      <c r="M26" s="12"/>
      <c r="N26" s="12"/>
      <c r="O26" s="12"/>
      <c r="P26" s="12"/>
      <c r="R26" s="26"/>
      <c r="S26" s="26"/>
      <c r="T26" s="26"/>
      <c r="U26" s="26"/>
      <c r="V26" s="26"/>
      <c r="AF26" s="26"/>
    </row>
    <row r="27" spans="1:32" ht="16.5" customHeight="1">
      <c r="A27" s="12"/>
      <c r="B27" s="12"/>
      <c r="C27" s="12"/>
      <c r="D27" s="12"/>
      <c r="E27" s="12"/>
      <c r="F27" s="12"/>
      <c r="G27" s="12"/>
      <c r="H27" s="12"/>
      <c r="I27" s="12"/>
      <c r="J27" s="12"/>
      <c r="K27" s="12"/>
      <c r="L27" s="12"/>
      <c r="M27" s="12"/>
      <c r="N27" s="12"/>
      <c r="O27" s="12"/>
      <c r="P27" s="12"/>
      <c r="R27" s="26"/>
      <c r="S27" s="26"/>
      <c r="T27" s="26"/>
      <c r="U27" s="26"/>
      <c r="V27" s="26"/>
      <c r="AF27" s="26"/>
    </row>
    <row r="28" spans="1:32" s="86" customFormat="1" ht="18.75" customHeight="1">
      <c r="A28" s="527" t="s">
        <v>216</v>
      </c>
      <c r="B28" s="527"/>
      <c r="C28" s="527"/>
      <c r="D28" s="527"/>
      <c r="E28" s="527"/>
      <c r="F28" s="527"/>
      <c r="G28" s="527"/>
      <c r="H28" s="527"/>
      <c r="I28" s="527"/>
      <c r="J28" s="527"/>
      <c r="K28" s="527"/>
      <c r="L28" s="527"/>
      <c r="M28" s="527"/>
      <c r="N28" s="527"/>
      <c r="O28" s="527"/>
      <c r="P28" s="527"/>
      <c r="Q28" s="527"/>
      <c r="R28" s="527"/>
      <c r="S28" s="527"/>
      <c r="T28" s="527"/>
      <c r="U28" s="527"/>
      <c r="V28" s="527"/>
      <c r="W28" s="527"/>
      <c r="X28" s="527"/>
      <c r="Y28" s="527"/>
      <c r="Z28" s="527"/>
      <c r="AA28" s="527"/>
      <c r="AB28" s="527"/>
      <c r="AC28" s="527"/>
      <c r="AD28" s="527"/>
      <c r="AE28" s="527"/>
      <c r="AF28" s="527"/>
    </row>
    <row r="29" spans="1:32">
      <c r="A29" s="70"/>
      <c r="B29" s="70"/>
      <c r="C29" s="70"/>
      <c r="D29" s="70"/>
      <c r="E29" s="70"/>
      <c r="F29" s="70"/>
      <c r="G29" s="70"/>
      <c r="H29" s="70"/>
      <c r="I29" s="71"/>
      <c r="J29" s="71"/>
      <c r="K29" s="71"/>
      <c r="L29" s="71"/>
      <c r="M29" s="71"/>
      <c r="N29" s="71"/>
      <c r="O29" s="71"/>
      <c r="P29" s="71"/>
      <c r="Q29" s="71"/>
      <c r="R29" s="71"/>
      <c r="S29" s="71"/>
      <c r="T29" s="71"/>
      <c r="U29" s="71"/>
      <c r="V29" s="71"/>
      <c r="W29" s="70"/>
      <c r="Z29" s="543"/>
      <c r="AA29" s="543"/>
      <c r="AB29" s="543"/>
      <c r="AD29" s="543" t="s">
        <v>236</v>
      </c>
      <c r="AE29" s="543"/>
      <c r="AF29" s="543"/>
    </row>
    <row r="30" spans="1:32" ht="24.95" customHeight="1">
      <c r="A30" s="548" t="s">
        <v>52</v>
      </c>
      <c r="B30" s="572" t="s">
        <v>253</v>
      </c>
      <c r="C30" s="583"/>
      <c r="D30" s="583"/>
      <c r="E30" s="583"/>
      <c r="F30" s="583"/>
      <c r="G30" s="583"/>
      <c r="H30" s="583"/>
      <c r="I30" s="583"/>
      <c r="J30" s="583"/>
      <c r="K30" s="583"/>
      <c r="L30" s="573"/>
      <c r="M30" s="540" t="s">
        <v>56</v>
      </c>
      <c r="N30" s="541"/>
      <c r="O30" s="541"/>
      <c r="P30" s="542"/>
      <c r="Q30" s="540" t="s">
        <v>87</v>
      </c>
      <c r="R30" s="541"/>
      <c r="S30" s="541"/>
      <c r="T30" s="542"/>
      <c r="U30" s="540" t="s">
        <v>313</v>
      </c>
      <c r="V30" s="541"/>
      <c r="W30" s="541"/>
      <c r="X30" s="542"/>
      <c r="Y30" s="540" t="s">
        <v>127</v>
      </c>
      <c r="Z30" s="541"/>
      <c r="AA30" s="541"/>
      <c r="AB30" s="542"/>
      <c r="AC30" s="540" t="s">
        <v>57</v>
      </c>
      <c r="AD30" s="541"/>
      <c r="AE30" s="541"/>
      <c r="AF30" s="542"/>
    </row>
    <row r="31" spans="1:32" ht="24.95" customHeight="1">
      <c r="A31" s="549"/>
      <c r="B31" s="581"/>
      <c r="C31" s="584"/>
      <c r="D31" s="584"/>
      <c r="E31" s="584"/>
      <c r="F31" s="584"/>
      <c r="G31" s="584"/>
      <c r="H31" s="584"/>
      <c r="I31" s="584"/>
      <c r="J31" s="584"/>
      <c r="K31" s="584"/>
      <c r="L31" s="582"/>
      <c r="M31" s="544" t="s">
        <v>246</v>
      </c>
      <c r="N31" s="544" t="s">
        <v>247</v>
      </c>
      <c r="O31" s="544" t="s">
        <v>368</v>
      </c>
      <c r="P31" s="544" t="s">
        <v>369</v>
      </c>
      <c r="Q31" s="544" t="s">
        <v>246</v>
      </c>
      <c r="R31" s="544" t="s">
        <v>247</v>
      </c>
      <c r="S31" s="544" t="s">
        <v>368</v>
      </c>
      <c r="T31" s="544" t="s">
        <v>369</v>
      </c>
      <c r="U31" s="544" t="s">
        <v>246</v>
      </c>
      <c r="V31" s="544" t="s">
        <v>247</v>
      </c>
      <c r="W31" s="544" t="s">
        <v>368</v>
      </c>
      <c r="X31" s="544" t="s">
        <v>369</v>
      </c>
      <c r="Y31" s="544" t="s">
        <v>246</v>
      </c>
      <c r="Z31" s="544" t="s">
        <v>247</v>
      </c>
      <c r="AA31" s="544" t="s">
        <v>368</v>
      </c>
      <c r="AB31" s="544" t="s">
        <v>369</v>
      </c>
      <c r="AC31" s="544" t="s">
        <v>246</v>
      </c>
      <c r="AD31" s="544" t="s">
        <v>247</v>
      </c>
      <c r="AE31" s="544" t="s">
        <v>368</v>
      </c>
      <c r="AF31" s="544" t="s">
        <v>369</v>
      </c>
    </row>
    <row r="32" spans="1:32" ht="36.75" customHeight="1">
      <c r="A32" s="550"/>
      <c r="B32" s="574"/>
      <c r="C32" s="585"/>
      <c r="D32" s="585"/>
      <c r="E32" s="585"/>
      <c r="F32" s="585"/>
      <c r="G32" s="585"/>
      <c r="H32" s="585"/>
      <c r="I32" s="585"/>
      <c r="J32" s="585"/>
      <c r="K32" s="585"/>
      <c r="L32" s="575"/>
      <c r="M32" s="545"/>
      <c r="N32" s="545"/>
      <c r="O32" s="545"/>
      <c r="P32" s="545"/>
      <c r="Q32" s="545"/>
      <c r="R32" s="545"/>
      <c r="S32" s="545"/>
      <c r="T32" s="545"/>
      <c r="U32" s="545"/>
      <c r="V32" s="545"/>
      <c r="W32" s="545"/>
      <c r="X32" s="545"/>
      <c r="Y32" s="545"/>
      <c r="Z32" s="545"/>
      <c r="AA32" s="545"/>
      <c r="AB32" s="545"/>
      <c r="AC32" s="545"/>
      <c r="AD32" s="545"/>
      <c r="AE32" s="545"/>
      <c r="AF32" s="545"/>
    </row>
    <row r="33" spans="1:32" ht="18.75" customHeight="1">
      <c r="A33" s="69">
        <v>1</v>
      </c>
      <c r="B33" s="565">
        <v>2</v>
      </c>
      <c r="C33" s="592"/>
      <c r="D33" s="592"/>
      <c r="E33" s="592"/>
      <c r="F33" s="592"/>
      <c r="G33" s="592"/>
      <c r="H33" s="592"/>
      <c r="I33" s="592"/>
      <c r="J33" s="592"/>
      <c r="K33" s="592"/>
      <c r="L33" s="566"/>
      <c r="M33" s="19">
        <v>3</v>
      </c>
      <c r="N33" s="19">
        <v>4</v>
      </c>
      <c r="O33" s="19">
        <v>5</v>
      </c>
      <c r="P33" s="19">
        <v>6</v>
      </c>
      <c r="Q33" s="19">
        <v>7</v>
      </c>
      <c r="R33" s="19">
        <v>8</v>
      </c>
      <c r="S33" s="19">
        <v>9</v>
      </c>
      <c r="T33" s="19">
        <v>10</v>
      </c>
      <c r="U33" s="19">
        <v>11</v>
      </c>
      <c r="V33" s="19">
        <v>12</v>
      </c>
      <c r="W33" s="19">
        <v>13</v>
      </c>
      <c r="X33" s="19">
        <v>14</v>
      </c>
      <c r="Y33" s="19">
        <v>15</v>
      </c>
      <c r="Z33" s="19">
        <v>16</v>
      </c>
      <c r="AA33" s="19">
        <v>17</v>
      </c>
      <c r="AB33" s="19">
        <v>18</v>
      </c>
      <c r="AC33" s="19">
        <v>19</v>
      </c>
      <c r="AD33" s="19">
        <v>20</v>
      </c>
      <c r="AE33" s="19">
        <v>21</v>
      </c>
      <c r="AF33" s="19">
        <v>22</v>
      </c>
    </row>
    <row r="34" spans="1:32" ht="22.5" customHeight="1">
      <c r="A34" s="8">
        <v>1</v>
      </c>
      <c r="B34" s="586" t="s">
        <v>676</v>
      </c>
      <c r="C34" s="587"/>
      <c r="D34" s="587"/>
      <c r="E34" s="587"/>
      <c r="F34" s="587"/>
      <c r="G34" s="587"/>
      <c r="H34" s="587"/>
      <c r="I34" s="587"/>
      <c r="J34" s="587"/>
      <c r="K34" s="587"/>
      <c r="L34" s="588"/>
      <c r="M34" s="19"/>
      <c r="N34" s="19"/>
      <c r="O34" s="19"/>
      <c r="P34" s="20"/>
      <c r="Q34" s="361"/>
      <c r="R34" s="366"/>
      <c r="S34" s="299">
        <f>R34-Q34</f>
        <v>0</v>
      </c>
      <c r="T34" s="20">
        <f>R34*100</f>
        <v>0</v>
      </c>
      <c r="U34" s="19">
        <v>10</v>
      </c>
      <c r="V34" s="19"/>
      <c r="W34" s="19">
        <f>V34-U34</f>
        <v>-10</v>
      </c>
      <c r="X34" s="20">
        <f>V34*100/U34</f>
        <v>0</v>
      </c>
      <c r="Y34" s="19"/>
      <c r="Z34" s="19"/>
      <c r="AA34" s="19"/>
      <c r="AB34" s="20"/>
      <c r="AC34" s="138">
        <f>M34+Q34+U34+Y34</f>
        <v>10</v>
      </c>
      <c r="AD34" s="138">
        <f>R34</f>
        <v>0</v>
      </c>
      <c r="AE34" s="299">
        <f>AD34-AC34</f>
        <v>-10</v>
      </c>
      <c r="AF34" s="20">
        <f>AD34*100/AC34</f>
        <v>0</v>
      </c>
    </row>
    <row r="35" spans="1:32" ht="20.25" customHeight="1">
      <c r="A35" s="8">
        <v>2</v>
      </c>
      <c r="B35" s="586" t="s">
        <v>592</v>
      </c>
      <c r="C35" s="587"/>
      <c r="D35" s="587"/>
      <c r="E35" s="587"/>
      <c r="F35" s="587"/>
      <c r="G35" s="587"/>
      <c r="H35" s="587"/>
      <c r="I35" s="587"/>
      <c r="J35" s="587"/>
      <c r="K35" s="587"/>
      <c r="L35" s="588"/>
      <c r="M35" s="19"/>
      <c r="N35" s="19"/>
      <c r="O35" s="19"/>
      <c r="P35" s="20"/>
      <c r="Q35" s="374">
        <v>522</v>
      </c>
      <c r="R35" s="366">
        <v>450</v>
      </c>
      <c r="S35" s="306">
        <f t="shared" ref="S35:S58" si="0">R35-Q35</f>
        <v>-72</v>
      </c>
      <c r="T35" s="298">
        <f t="shared" ref="T35:T54" si="1">R35*100/Q35</f>
        <v>86.206896551724142</v>
      </c>
      <c r="U35" s="19"/>
      <c r="V35" s="19"/>
      <c r="W35" s="19"/>
      <c r="X35" s="20"/>
      <c r="Y35" s="19"/>
      <c r="Z35" s="19"/>
      <c r="AA35" s="19"/>
      <c r="AB35" s="20"/>
      <c r="AC35" s="138">
        <f t="shared" ref="AC35:AC57" si="2">M35+Q35+U35+Y35</f>
        <v>522</v>
      </c>
      <c r="AD35" s="138">
        <f t="shared" ref="AD35:AD57" si="3">R35</f>
        <v>450</v>
      </c>
      <c r="AE35" s="313">
        <f t="shared" ref="AE35:AE57" si="4">AD35-AC35</f>
        <v>-72</v>
      </c>
      <c r="AF35" s="298">
        <f t="shared" ref="AF35:AF57" si="5">AD35*100/AC35</f>
        <v>86.206896551724142</v>
      </c>
    </row>
    <row r="36" spans="1:32" ht="20.25" customHeight="1">
      <c r="A36" s="8">
        <v>3</v>
      </c>
      <c r="B36" s="586" t="s">
        <v>559</v>
      </c>
      <c r="C36" s="587"/>
      <c r="D36" s="587"/>
      <c r="E36" s="587"/>
      <c r="F36" s="587"/>
      <c r="G36" s="587"/>
      <c r="H36" s="587"/>
      <c r="I36" s="587"/>
      <c r="J36" s="587"/>
      <c r="K36" s="587"/>
      <c r="L36" s="588"/>
      <c r="M36" s="19"/>
      <c r="N36" s="19"/>
      <c r="O36" s="19"/>
      <c r="P36" s="20"/>
      <c r="Q36" s="374">
        <v>26700</v>
      </c>
      <c r="R36" s="366">
        <v>5675</v>
      </c>
      <c r="S36" s="306">
        <f t="shared" si="0"/>
        <v>-21025</v>
      </c>
      <c r="T36" s="298">
        <f t="shared" si="1"/>
        <v>21.254681647940075</v>
      </c>
      <c r="U36" s="19"/>
      <c r="V36" s="19"/>
      <c r="W36" s="19"/>
      <c r="X36" s="20"/>
      <c r="Y36" s="19"/>
      <c r="Z36" s="19"/>
      <c r="AA36" s="19"/>
      <c r="AB36" s="20"/>
      <c r="AC36" s="138">
        <f t="shared" si="2"/>
        <v>26700</v>
      </c>
      <c r="AD36" s="138">
        <f t="shared" si="3"/>
        <v>5675</v>
      </c>
      <c r="AE36" s="313">
        <f t="shared" si="4"/>
        <v>-21025</v>
      </c>
      <c r="AF36" s="377">
        <f t="shared" si="5"/>
        <v>21.254681647940075</v>
      </c>
    </row>
    <row r="37" spans="1:32" s="160" customFormat="1" ht="41.25" customHeight="1">
      <c r="A37" s="8">
        <v>4</v>
      </c>
      <c r="B37" s="586" t="s">
        <v>560</v>
      </c>
      <c r="C37" s="587"/>
      <c r="D37" s="587"/>
      <c r="E37" s="587"/>
      <c r="F37" s="587"/>
      <c r="G37" s="587"/>
      <c r="H37" s="587"/>
      <c r="I37" s="587"/>
      <c r="J37" s="587"/>
      <c r="K37" s="587"/>
      <c r="L37" s="588"/>
      <c r="M37" s="158"/>
      <c r="N37" s="158"/>
      <c r="O37" s="158"/>
      <c r="P37" s="159"/>
      <c r="Q37" s="374">
        <v>10330</v>
      </c>
      <c r="R37" s="366">
        <v>355</v>
      </c>
      <c r="S37" s="306">
        <f t="shared" si="0"/>
        <v>-9975</v>
      </c>
      <c r="T37" s="308">
        <f t="shared" si="1"/>
        <v>3.4365924491771538</v>
      </c>
      <c r="U37" s="158"/>
      <c r="V37" s="158"/>
      <c r="W37" s="158"/>
      <c r="X37" s="159"/>
      <c r="Y37" s="158"/>
      <c r="Z37" s="158"/>
      <c r="AA37" s="158"/>
      <c r="AB37" s="159"/>
      <c r="AC37" s="138">
        <f t="shared" si="2"/>
        <v>10330</v>
      </c>
      <c r="AD37" s="138">
        <f t="shared" si="3"/>
        <v>355</v>
      </c>
      <c r="AE37" s="313">
        <f t="shared" si="4"/>
        <v>-9975</v>
      </c>
      <c r="AF37" s="377">
        <f t="shared" si="5"/>
        <v>3.4365924491771538</v>
      </c>
    </row>
    <row r="38" spans="1:32" s="160" customFormat="1" ht="21.75" customHeight="1">
      <c r="A38" s="8">
        <v>5</v>
      </c>
      <c r="B38" s="586" t="s">
        <v>599</v>
      </c>
      <c r="C38" s="587"/>
      <c r="D38" s="587"/>
      <c r="E38" s="587"/>
      <c r="F38" s="587"/>
      <c r="G38" s="587"/>
      <c r="H38" s="587"/>
      <c r="I38" s="587"/>
      <c r="J38" s="587"/>
      <c r="K38" s="587"/>
      <c r="L38" s="588"/>
      <c r="M38" s="351"/>
      <c r="N38" s="351"/>
      <c r="O38" s="351"/>
      <c r="P38" s="352"/>
      <c r="Q38" s="374">
        <v>5000</v>
      </c>
      <c r="R38" s="366">
        <v>3055</v>
      </c>
      <c r="S38" s="313">
        <f t="shared" si="0"/>
        <v>-1945</v>
      </c>
      <c r="T38" s="377">
        <f t="shared" si="1"/>
        <v>61.1</v>
      </c>
      <c r="U38" s="351"/>
      <c r="V38" s="351"/>
      <c r="W38" s="351"/>
      <c r="X38" s="352"/>
      <c r="Y38" s="351"/>
      <c r="Z38" s="351"/>
      <c r="AA38" s="351"/>
      <c r="AB38" s="352"/>
      <c r="AC38" s="138">
        <f t="shared" si="2"/>
        <v>5000</v>
      </c>
      <c r="AD38" s="138">
        <f t="shared" si="3"/>
        <v>3055</v>
      </c>
      <c r="AE38" s="313">
        <f t="shared" si="4"/>
        <v>-1945</v>
      </c>
      <c r="AF38" s="377">
        <f t="shared" si="5"/>
        <v>61.1</v>
      </c>
    </row>
    <row r="39" spans="1:32" s="160" customFormat="1" ht="39.75" customHeight="1">
      <c r="A39" s="8">
        <v>6</v>
      </c>
      <c r="B39" s="586" t="s">
        <v>651</v>
      </c>
      <c r="C39" s="587"/>
      <c r="D39" s="587"/>
      <c r="E39" s="587"/>
      <c r="F39" s="587"/>
      <c r="G39" s="587"/>
      <c r="H39" s="587"/>
      <c r="I39" s="587"/>
      <c r="J39" s="587"/>
      <c r="K39" s="587"/>
      <c r="L39" s="588"/>
      <c r="M39" s="366"/>
      <c r="N39" s="366"/>
      <c r="O39" s="366"/>
      <c r="P39" s="367"/>
      <c r="Q39" s="374">
        <v>29</v>
      </c>
      <c r="R39" s="366"/>
      <c r="S39" s="313">
        <f t="shared" si="0"/>
        <v>-29</v>
      </c>
      <c r="T39" s="377">
        <f t="shared" si="1"/>
        <v>0</v>
      </c>
      <c r="U39" s="366"/>
      <c r="V39" s="366"/>
      <c r="W39" s="366"/>
      <c r="X39" s="367"/>
      <c r="Y39" s="366"/>
      <c r="Z39" s="366"/>
      <c r="AA39" s="366"/>
      <c r="AB39" s="367"/>
      <c r="AC39" s="138">
        <f t="shared" si="2"/>
        <v>29</v>
      </c>
      <c r="AD39" s="138">
        <f t="shared" si="3"/>
        <v>0</v>
      </c>
      <c r="AE39" s="313">
        <f t="shared" si="4"/>
        <v>-29</v>
      </c>
      <c r="AF39" s="377">
        <f t="shared" si="5"/>
        <v>0</v>
      </c>
    </row>
    <row r="40" spans="1:32" s="160" customFormat="1" ht="26.25" customHeight="1">
      <c r="A40" s="8">
        <v>7</v>
      </c>
      <c r="B40" s="586" t="s">
        <v>533</v>
      </c>
      <c r="C40" s="587"/>
      <c r="D40" s="587"/>
      <c r="E40" s="587"/>
      <c r="F40" s="587"/>
      <c r="G40" s="587"/>
      <c r="H40" s="587"/>
      <c r="I40" s="587"/>
      <c r="J40" s="587"/>
      <c r="K40" s="587"/>
      <c r="L40" s="588"/>
      <c r="M40" s="374"/>
      <c r="N40" s="374"/>
      <c r="O40" s="374"/>
      <c r="P40" s="375"/>
      <c r="Q40" s="374"/>
      <c r="R40" s="374">
        <v>3</v>
      </c>
      <c r="S40" s="313">
        <f t="shared" si="0"/>
        <v>3</v>
      </c>
      <c r="T40" s="377">
        <f>R40*100</f>
        <v>300</v>
      </c>
      <c r="U40" s="374"/>
      <c r="V40" s="374"/>
      <c r="W40" s="374"/>
      <c r="X40" s="375"/>
      <c r="Y40" s="374"/>
      <c r="Z40" s="374"/>
      <c r="AA40" s="374"/>
      <c r="AB40" s="375"/>
      <c r="AC40" s="380">
        <f t="shared" si="2"/>
        <v>0</v>
      </c>
      <c r="AD40" s="138">
        <f t="shared" si="3"/>
        <v>3</v>
      </c>
      <c r="AE40" s="313">
        <f t="shared" si="4"/>
        <v>3</v>
      </c>
      <c r="AF40" s="377">
        <f>AD40*100</f>
        <v>300</v>
      </c>
    </row>
    <row r="41" spans="1:32" s="160" customFormat="1" ht="21.75" customHeight="1">
      <c r="A41" s="8">
        <v>8</v>
      </c>
      <c r="B41" s="586" t="s">
        <v>652</v>
      </c>
      <c r="C41" s="587"/>
      <c r="D41" s="587"/>
      <c r="E41" s="587"/>
      <c r="F41" s="587"/>
      <c r="G41" s="587"/>
      <c r="H41" s="587"/>
      <c r="I41" s="587"/>
      <c r="J41" s="587"/>
      <c r="K41" s="587"/>
      <c r="L41" s="588"/>
      <c r="M41" s="374"/>
      <c r="N41" s="374"/>
      <c r="O41" s="374"/>
      <c r="P41" s="375"/>
      <c r="Q41" s="374"/>
      <c r="R41" s="374">
        <v>3</v>
      </c>
      <c r="S41" s="313">
        <f t="shared" si="0"/>
        <v>3</v>
      </c>
      <c r="T41" s="377">
        <f>R41*100</f>
        <v>300</v>
      </c>
      <c r="U41" s="374"/>
      <c r="V41" s="374"/>
      <c r="W41" s="374"/>
      <c r="X41" s="375"/>
      <c r="Y41" s="374"/>
      <c r="Z41" s="374"/>
      <c r="AA41" s="374"/>
      <c r="AB41" s="375"/>
      <c r="AC41" s="380">
        <f t="shared" si="2"/>
        <v>0</v>
      </c>
      <c r="AD41" s="138">
        <f t="shared" si="3"/>
        <v>3</v>
      </c>
      <c r="AE41" s="313">
        <f t="shared" si="4"/>
        <v>3</v>
      </c>
      <c r="AF41" s="377">
        <f t="shared" ref="AF41:AF51" si="6">AD41*100</f>
        <v>300</v>
      </c>
    </row>
    <row r="42" spans="1:32" s="160" customFormat="1" ht="39.75" customHeight="1">
      <c r="A42" s="8">
        <v>9</v>
      </c>
      <c r="B42" s="586" t="s">
        <v>653</v>
      </c>
      <c r="C42" s="587"/>
      <c r="D42" s="587"/>
      <c r="E42" s="587"/>
      <c r="F42" s="587"/>
      <c r="G42" s="587"/>
      <c r="H42" s="587"/>
      <c r="I42" s="587"/>
      <c r="J42" s="587"/>
      <c r="K42" s="587"/>
      <c r="L42" s="588"/>
      <c r="M42" s="374"/>
      <c r="N42" s="374"/>
      <c r="O42" s="374"/>
      <c r="P42" s="375"/>
      <c r="Q42" s="374"/>
      <c r="R42" s="374">
        <v>68</v>
      </c>
      <c r="S42" s="313">
        <f t="shared" si="0"/>
        <v>68</v>
      </c>
      <c r="T42" s="377">
        <f t="shared" ref="T42:T51" si="7">R42*100</f>
        <v>6800</v>
      </c>
      <c r="U42" s="374"/>
      <c r="V42" s="374"/>
      <c r="W42" s="374"/>
      <c r="X42" s="375"/>
      <c r="Y42" s="374"/>
      <c r="Z42" s="374"/>
      <c r="AA42" s="374"/>
      <c r="AB42" s="375"/>
      <c r="AC42" s="380">
        <f t="shared" si="2"/>
        <v>0</v>
      </c>
      <c r="AD42" s="138">
        <f t="shared" si="3"/>
        <v>68</v>
      </c>
      <c r="AE42" s="313">
        <f t="shared" si="4"/>
        <v>68</v>
      </c>
      <c r="AF42" s="377">
        <f t="shared" si="6"/>
        <v>6800</v>
      </c>
    </row>
    <row r="43" spans="1:32" s="160" customFormat="1" ht="24" customHeight="1">
      <c r="A43" s="8">
        <v>10</v>
      </c>
      <c r="B43" s="586" t="s">
        <v>654</v>
      </c>
      <c r="C43" s="587"/>
      <c r="D43" s="587"/>
      <c r="E43" s="587"/>
      <c r="F43" s="587"/>
      <c r="G43" s="587"/>
      <c r="H43" s="587"/>
      <c r="I43" s="587"/>
      <c r="J43" s="587"/>
      <c r="K43" s="587"/>
      <c r="L43" s="588"/>
      <c r="M43" s="374"/>
      <c r="N43" s="374"/>
      <c r="O43" s="374"/>
      <c r="P43" s="375"/>
      <c r="Q43" s="374"/>
      <c r="R43" s="374">
        <v>22</v>
      </c>
      <c r="S43" s="313">
        <f t="shared" si="0"/>
        <v>22</v>
      </c>
      <c r="T43" s="377">
        <f t="shared" si="7"/>
        <v>2200</v>
      </c>
      <c r="U43" s="374"/>
      <c r="V43" s="374"/>
      <c r="W43" s="374"/>
      <c r="X43" s="375"/>
      <c r="Y43" s="374"/>
      <c r="Z43" s="374"/>
      <c r="AA43" s="374"/>
      <c r="AB43" s="375"/>
      <c r="AC43" s="380">
        <f t="shared" si="2"/>
        <v>0</v>
      </c>
      <c r="AD43" s="138">
        <f t="shared" si="3"/>
        <v>22</v>
      </c>
      <c r="AE43" s="313">
        <f t="shared" si="4"/>
        <v>22</v>
      </c>
      <c r="AF43" s="377">
        <f t="shared" si="6"/>
        <v>2200</v>
      </c>
    </row>
    <row r="44" spans="1:32" s="160" customFormat="1" ht="42" customHeight="1">
      <c r="A44" s="8">
        <v>11</v>
      </c>
      <c r="B44" s="586" t="s">
        <v>655</v>
      </c>
      <c r="C44" s="587"/>
      <c r="D44" s="587"/>
      <c r="E44" s="587"/>
      <c r="F44" s="587"/>
      <c r="G44" s="587"/>
      <c r="H44" s="587"/>
      <c r="I44" s="587"/>
      <c r="J44" s="587"/>
      <c r="K44" s="587"/>
      <c r="L44" s="588"/>
      <c r="M44" s="374"/>
      <c r="N44" s="374"/>
      <c r="O44" s="374"/>
      <c r="P44" s="375"/>
      <c r="Q44" s="374"/>
      <c r="R44" s="374">
        <v>105</v>
      </c>
      <c r="S44" s="313">
        <f t="shared" si="0"/>
        <v>105</v>
      </c>
      <c r="T44" s="377">
        <f t="shared" si="7"/>
        <v>10500</v>
      </c>
      <c r="U44" s="374"/>
      <c r="V44" s="374"/>
      <c r="W44" s="374"/>
      <c r="X44" s="375"/>
      <c r="Y44" s="374"/>
      <c r="Z44" s="374"/>
      <c r="AA44" s="374"/>
      <c r="AB44" s="375"/>
      <c r="AC44" s="380">
        <f t="shared" si="2"/>
        <v>0</v>
      </c>
      <c r="AD44" s="138">
        <f t="shared" si="3"/>
        <v>105</v>
      </c>
      <c r="AE44" s="313">
        <f t="shared" si="4"/>
        <v>105</v>
      </c>
      <c r="AF44" s="377">
        <f t="shared" si="6"/>
        <v>10500</v>
      </c>
    </row>
    <row r="45" spans="1:32" s="160" customFormat="1" ht="42.75" customHeight="1">
      <c r="A45" s="8">
        <v>12</v>
      </c>
      <c r="B45" s="586" t="s">
        <v>656</v>
      </c>
      <c r="C45" s="587"/>
      <c r="D45" s="587"/>
      <c r="E45" s="587"/>
      <c r="F45" s="587"/>
      <c r="G45" s="587"/>
      <c r="H45" s="587"/>
      <c r="I45" s="587"/>
      <c r="J45" s="587"/>
      <c r="K45" s="587"/>
      <c r="L45" s="588"/>
      <c r="M45" s="374"/>
      <c r="N45" s="374"/>
      <c r="O45" s="374"/>
      <c r="P45" s="375"/>
      <c r="Q45" s="374"/>
      <c r="R45" s="374">
        <v>57</v>
      </c>
      <c r="S45" s="313">
        <f t="shared" si="0"/>
        <v>57</v>
      </c>
      <c r="T45" s="377">
        <f t="shared" si="7"/>
        <v>5700</v>
      </c>
      <c r="U45" s="374"/>
      <c r="V45" s="374"/>
      <c r="W45" s="374"/>
      <c r="X45" s="375"/>
      <c r="Y45" s="374"/>
      <c r="Z45" s="374"/>
      <c r="AA45" s="374"/>
      <c r="AB45" s="375"/>
      <c r="AC45" s="380">
        <f t="shared" si="2"/>
        <v>0</v>
      </c>
      <c r="AD45" s="138">
        <f t="shared" si="3"/>
        <v>57</v>
      </c>
      <c r="AE45" s="313">
        <f t="shared" si="4"/>
        <v>57</v>
      </c>
      <c r="AF45" s="377">
        <f t="shared" si="6"/>
        <v>5700</v>
      </c>
    </row>
    <row r="46" spans="1:32" s="160" customFormat="1" ht="24" customHeight="1">
      <c r="A46" s="8">
        <v>13</v>
      </c>
      <c r="B46" s="586" t="s">
        <v>657</v>
      </c>
      <c r="C46" s="587"/>
      <c r="D46" s="587"/>
      <c r="E46" s="587"/>
      <c r="F46" s="587"/>
      <c r="G46" s="587"/>
      <c r="H46" s="587"/>
      <c r="I46" s="587"/>
      <c r="J46" s="587"/>
      <c r="K46" s="587"/>
      <c r="L46" s="588"/>
      <c r="M46" s="374"/>
      <c r="N46" s="374"/>
      <c r="O46" s="374"/>
      <c r="P46" s="375"/>
      <c r="Q46" s="374"/>
      <c r="R46" s="374">
        <v>74</v>
      </c>
      <c r="S46" s="313">
        <f t="shared" si="0"/>
        <v>74</v>
      </c>
      <c r="T46" s="377">
        <f t="shared" si="7"/>
        <v>7400</v>
      </c>
      <c r="U46" s="374"/>
      <c r="V46" s="374"/>
      <c r="W46" s="374"/>
      <c r="X46" s="375"/>
      <c r="Y46" s="374"/>
      <c r="Z46" s="374"/>
      <c r="AA46" s="374"/>
      <c r="AB46" s="375"/>
      <c r="AC46" s="380">
        <f t="shared" si="2"/>
        <v>0</v>
      </c>
      <c r="AD46" s="138">
        <f t="shared" si="3"/>
        <v>74</v>
      </c>
      <c r="AE46" s="313">
        <f t="shared" si="4"/>
        <v>74</v>
      </c>
      <c r="AF46" s="377">
        <f t="shared" si="6"/>
        <v>7400</v>
      </c>
    </row>
    <row r="47" spans="1:32" s="160" customFormat="1" ht="21.75" customHeight="1">
      <c r="A47" s="8">
        <v>14</v>
      </c>
      <c r="B47" s="586" t="s">
        <v>633</v>
      </c>
      <c r="C47" s="587"/>
      <c r="D47" s="587"/>
      <c r="E47" s="587"/>
      <c r="F47" s="587"/>
      <c r="G47" s="587"/>
      <c r="H47" s="587"/>
      <c r="I47" s="587"/>
      <c r="J47" s="587"/>
      <c r="K47" s="587"/>
      <c r="L47" s="588"/>
      <c r="M47" s="374"/>
      <c r="N47" s="374"/>
      <c r="O47" s="374"/>
      <c r="P47" s="375"/>
      <c r="Q47" s="374"/>
      <c r="R47" s="374">
        <v>175</v>
      </c>
      <c r="S47" s="313">
        <f t="shared" si="0"/>
        <v>175</v>
      </c>
      <c r="T47" s="377">
        <f t="shared" si="7"/>
        <v>17500</v>
      </c>
      <c r="U47" s="374"/>
      <c r="V47" s="374"/>
      <c r="W47" s="374"/>
      <c r="X47" s="375"/>
      <c r="Y47" s="374"/>
      <c r="Z47" s="374"/>
      <c r="AA47" s="374"/>
      <c r="AB47" s="375"/>
      <c r="AC47" s="380">
        <f t="shared" si="2"/>
        <v>0</v>
      </c>
      <c r="AD47" s="138">
        <f t="shared" si="3"/>
        <v>175</v>
      </c>
      <c r="AE47" s="313">
        <f t="shared" si="4"/>
        <v>175</v>
      </c>
      <c r="AF47" s="377">
        <f t="shared" si="6"/>
        <v>17500</v>
      </c>
    </row>
    <row r="48" spans="1:32" s="160" customFormat="1" ht="22.5" customHeight="1">
      <c r="A48" s="8">
        <v>15</v>
      </c>
      <c r="B48" s="586" t="s">
        <v>671</v>
      </c>
      <c r="C48" s="587"/>
      <c r="D48" s="587"/>
      <c r="E48" s="587"/>
      <c r="F48" s="587"/>
      <c r="G48" s="587"/>
      <c r="H48" s="587"/>
      <c r="I48" s="587"/>
      <c r="J48" s="587"/>
      <c r="K48" s="587"/>
      <c r="L48" s="588"/>
      <c r="M48" s="374"/>
      <c r="N48" s="374"/>
      <c r="O48" s="374"/>
      <c r="P48" s="375"/>
      <c r="Q48" s="374"/>
      <c r="R48" s="374">
        <v>44</v>
      </c>
      <c r="S48" s="313">
        <f t="shared" si="0"/>
        <v>44</v>
      </c>
      <c r="T48" s="377">
        <f t="shared" si="7"/>
        <v>4400</v>
      </c>
      <c r="U48" s="374"/>
      <c r="V48" s="374"/>
      <c r="W48" s="374"/>
      <c r="X48" s="375"/>
      <c r="Y48" s="374"/>
      <c r="Z48" s="374"/>
      <c r="AA48" s="374"/>
      <c r="AB48" s="375"/>
      <c r="AC48" s="380">
        <f t="shared" si="2"/>
        <v>0</v>
      </c>
      <c r="AD48" s="138">
        <f t="shared" si="3"/>
        <v>44</v>
      </c>
      <c r="AE48" s="313">
        <f t="shared" si="4"/>
        <v>44</v>
      </c>
      <c r="AF48" s="377">
        <f t="shared" si="6"/>
        <v>4400</v>
      </c>
    </row>
    <row r="49" spans="1:32" s="160" customFormat="1" ht="22.5" customHeight="1">
      <c r="A49" s="8">
        <v>16</v>
      </c>
      <c r="B49" s="586" t="s">
        <v>616</v>
      </c>
      <c r="C49" s="587"/>
      <c r="D49" s="587"/>
      <c r="E49" s="587"/>
      <c r="F49" s="587"/>
      <c r="G49" s="587"/>
      <c r="H49" s="587"/>
      <c r="I49" s="587"/>
      <c r="J49" s="587"/>
      <c r="K49" s="587"/>
      <c r="L49" s="588"/>
      <c r="M49" s="374"/>
      <c r="N49" s="374"/>
      <c r="O49" s="374"/>
      <c r="P49" s="375"/>
      <c r="Q49" s="374"/>
      <c r="R49" s="374">
        <v>47</v>
      </c>
      <c r="S49" s="313">
        <f t="shared" si="0"/>
        <v>47</v>
      </c>
      <c r="T49" s="377">
        <f t="shared" si="7"/>
        <v>4700</v>
      </c>
      <c r="U49" s="374"/>
      <c r="V49" s="374"/>
      <c r="W49" s="374"/>
      <c r="X49" s="375"/>
      <c r="Y49" s="374"/>
      <c r="Z49" s="374"/>
      <c r="AA49" s="374"/>
      <c r="AB49" s="375"/>
      <c r="AC49" s="380">
        <f t="shared" si="2"/>
        <v>0</v>
      </c>
      <c r="AD49" s="138">
        <f t="shared" si="3"/>
        <v>47</v>
      </c>
      <c r="AE49" s="313">
        <f t="shared" si="4"/>
        <v>47</v>
      </c>
      <c r="AF49" s="377">
        <f t="shared" si="6"/>
        <v>4700</v>
      </c>
    </row>
    <row r="50" spans="1:32" s="160" customFormat="1" ht="22.5" customHeight="1">
      <c r="A50" s="8">
        <v>17</v>
      </c>
      <c r="B50" s="586" t="s">
        <v>636</v>
      </c>
      <c r="C50" s="587"/>
      <c r="D50" s="587"/>
      <c r="E50" s="587"/>
      <c r="F50" s="587"/>
      <c r="G50" s="587"/>
      <c r="H50" s="587"/>
      <c r="I50" s="587"/>
      <c r="J50" s="587"/>
      <c r="K50" s="587"/>
      <c r="L50" s="588"/>
      <c r="M50" s="374"/>
      <c r="N50" s="374"/>
      <c r="O50" s="374"/>
      <c r="P50" s="375"/>
      <c r="Q50" s="374"/>
      <c r="R50" s="374">
        <v>106</v>
      </c>
      <c r="S50" s="313">
        <f t="shared" si="0"/>
        <v>106</v>
      </c>
      <c r="T50" s="377">
        <f t="shared" si="7"/>
        <v>10600</v>
      </c>
      <c r="U50" s="374"/>
      <c r="V50" s="374"/>
      <c r="W50" s="374"/>
      <c r="X50" s="375"/>
      <c r="Y50" s="374"/>
      <c r="Z50" s="374"/>
      <c r="AA50" s="374"/>
      <c r="AB50" s="375"/>
      <c r="AC50" s="380">
        <f t="shared" si="2"/>
        <v>0</v>
      </c>
      <c r="AD50" s="138">
        <f t="shared" si="3"/>
        <v>106</v>
      </c>
      <c r="AE50" s="313">
        <f t="shared" si="4"/>
        <v>106</v>
      </c>
      <c r="AF50" s="377">
        <f t="shared" si="6"/>
        <v>10600</v>
      </c>
    </row>
    <row r="51" spans="1:32" s="160" customFormat="1" ht="19.5" customHeight="1">
      <c r="A51" s="8">
        <v>18</v>
      </c>
      <c r="B51" s="586" t="s">
        <v>610</v>
      </c>
      <c r="C51" s="587"/>
      <c r="D51" s="587"/>
      <c r="E51" s="587"/>
      <c r="F51" s="587"/>
      <c r="G51" s="587"/>
      <c r="H51" s="587"/>
      <c r="I51" s="587"/>
      <c r="J51" s="587"/>
      <c r="K51" s="587"/>
      <c r="L51" s="588"/>
      <c r="M51" s="374"/>
      <c r="N51" s="374"/>
      <c r="O51" s="374"/>
      <c r="P51" s="375"/>
      <c r="Q51" s="374"/>
      <c r="R51" s="374">
        <v>177</v>
      </c>
      <c r="S51" s="313">
        <f t="shared" si="0"/>
        <v>177</v>
      </c>
      <c r="T51" s="377">
        <f t="shared" si="7"/>
        <v>17700</v>
      </c>
      <c r="U51" s="374"/>
      <c r="V51" s="374"/>
      <c r="W51" s="374"/>
      <c r="X51" s="375"/>
      <c r="Y51" s="374"/>
      <c r="Z51" s="374"/>
      <c r="AA51" s="374"/>
      <c r="AB51" s="375"/>
      <c r="AC51" s="380">
        <f t="shared" si="2"/>
        <v>0</v>
      </c>
      <c r="AD51" s="138">
        <f t="shared" si="3"/>
        <v>177</v>
      </c>
      <c r="AE51" s="313">
        <f t="shared" si="4"/>
        <v>177</v>
      </c>
      <c r="AF51" s="377">
        <f t="shared" si="6"/>
        <v>17700</v>
      </c>
    </row>
    <row r="52" spans="1:32" ht="24.75" customHeight="1">
      <c r="A52" s="8">
        <v>19</v>
      </c>
      <c r="B52" s="586" t="s">
        <v>558</v>
      </c>
      <c r="C52" s="587"/>
      <c r="D52" s="587"/>
      <c r="E52" s="587"/>
      <c r="F52" s="587"/>
      <c r="G52" s="587"/>
      <c r="H52" s="587"/>
      <c r="I52" s="587"/>
      <c r="J52" s="587"/>
      <c r="K52" s="587"/>
      <c r="L52" s="588"/>
      <c r="M52" s="19"/>
      <c r="N52" s="19"/>
      <c r="O52" s="19"/>
      <c r="P52" s="20"/>
      <c r="Q52" s="374">
        <v>2800</v>
      </c>
      <c r="R52" s="366">
        <v>1985</v>
      </c>
      <c r="S52" s="306">
        <f t="shared" si="0"/>
        <v>-815</v>
      </c>
      <c r="T52" s="20">
        <f t="shared" si="1"/>
        <v>70.892857142857139</v>
      </c>
      <c r="U52" s="19"/>
      <c r="V52" s="19"/>
      <c r="W52" s="19"/>
      <c r="X52" s="20"/>
      <c r="Y52" s="19"/>
      <c r="Z52" s="19"/>
      <c r="AA52" s="19"/>
      <c r="AB52" s="20"/>
      <c r="AC52" s="138">
        <f t="shared" si="2"/>
        <v>2800</v>
      </c>
      <c r="AD52" s="138">
        <f t="shared" si="3"/>
        <v>1985</v>
      </c>
      <c r="AE52" s="313">
        <f t="shared" si="4"/>
        <v>-815</v>
      </c>
      <c r="AF52" s="377">
        <f t="shared" si="5"/>
        <v>70.892857142857139</v>
      </c>
    </row>
    <row r="53" spans="1:32" ht="23.25" customHeight="1">
      <c r="A53" s="8">
        <v>20</v>
      </c>
      <c r="B53" s="586" t="s">
        <v>704</v>
      </c>
      <c r="C53" s="587"/>
      <c r="D53" s="587"/>
      <c r="E53" s="587"/>
      <c r="F53" s="587"/>
      <c r="G53" s="587"/>
      <c r="H53" s="587"/>
      <c r="I53" s="587"/>
      <c r="J53" s="587"/>
      <c r="K53" s="587"/>
      <c r="L53" s="588"/>
      <c r="M53" s="330"/>
      <c r="N53" s="330"/>
      <c r="O53" s="330"/>
      <c r="P53" s="331"/>
      <c r="Q53" s="374">
        <v>852</v>
      </c>
      <c r="R53" s="366">
        <v>852</v>
      </c>
      <c r="S53" s="313">
        <f t="shared" si="0"/>
        <v>0</v>
      </c>
      <c r="T53" s="360">
        <f t="shared" si="1"/>
        <v>100</v>
      </c>
      <c r="U53" s="330"/>
      <c r="V53" s="330"/>
      <c r="W53" s="330"/>
      <c r="X53" s="331"/>
      <c r="Y53" s="330"/>
      <c r="Z53" s="330"/>
      <c r="AA53" s="330"/>
      <c r="AB53" s="331"/>
      <c r="AC53" s="138">
        <f t="shared" si="2"/>
        <v>852</v>
      </c>
      <c r="AD53" s="138">
        <f t="shared" si="3"/>
        <v>852</v>
      </c>
      <c r="AE53" s="313">
        <f t="shared" si="4"/>
        <v>0</v>
      </c>
      <c r="AF53" s="377">
        <f t="shared" si="5"/>
        <v>100</v>
      </c>
    </row>
    <row r="54" spans="1:32" ht="23.25" customHeight="1">
      <c r="A54" s="8">
        <v>21</v>
      </c>
      <c r="B54" s="586" t="s">
        <v>589</v>
      </c>
      <c r="C54" s="587"/>
      <c r="D54" s="587"/>
      <c r="E54" s="587"/>
      <c r="F54" s="587"/>
      <c r="G54" s="587"/>
      <c r="H54" s="587"/>
      <c r="I54" s="587"/>
      <c r="J54" s="587"/>
      <c r="K54" s="587"/>
      <c r="L54" s="588"/>
      <c r="M54" s="376"/>
      <c r="N54" s="376"/>
      <c r="O54" s="376"/>
      <c r="P54" s="377"/>
      <c r="Q54" s="374">
        <v>272</v>
      </c>
      <c r="R54" s="374"/>
      <c r="S54" s="313">
        <f t="shared" si="0"/>
        <v>-272</v>
      </c>
      <c r="T54" s="377">
        <f t="shared" si="1"/>
        <v>0</v>
      </c>
      <c r="U54" s="376"/>
      <c r="V54" s="376"/>
      <c r="W54" s="376"/>
      <c r="X54" s="377"/>
      <c r="Y54" s="376"/>
      <c r="Z54" s="376"/>
      <c r="AA54" s="376"/>
      <c r="AB54" s="377"/>
      <c r="AC54" s="138">
        <f t="shared" si="2"/>
        <v>272</v>
      </c>
      <c r="AD54" s="138">
        <f t="shared" si="3"/>
        <v>0</v>
      </c>
      <c r="AE54" s="313">
        <f t="shared" si="4"/>
        <v>-272</v>
      </c>
      <c r="AF54" s="377">
        <f t="shared" si="5"/>
        <v>0</v>
      </c>
    </row>
    <row r="55" spans="1:32" ht="19.5" customHeight="1">
      <c r="A55" s="8">
        <v>22</v>
      </c>
      <c r="B55" s="586" t="s">
        <v>602</v>
      </c>
      <c r="C55" s="587"/>
      <c r="D55" s="587"/>
      <c r="E55" s="587"/>
      <c r="F55" s="587"/>
      <c r="G55" s="587"/>
      <c r="H55" s="587"/>
      <c r="I55" s="587"/>
      <c r="J55" s="587"/>
      <c r="K55" s="587"/>
      <c r="L55" s="588"/>
      <c r="M55" s="335"/>
      <c r="N55" s="335"/>
      <c r="O55" s="335"/>
      <c r="P55" s="336"/>
      <c r="Q55" s="374">
        <v>494</v>
      </c>
      <c r="R55" s="366">
        <v>390</v>
      </c>
      <c r="S55" s="313">
        <f t="shared" si="0"/>
        <v>-104</v>
      </c>
      <c r="T55" s="350">
        <f>R55*100/Q55</f>
        <v>78.94736842105263</v>
      </c>
      <c r="U55" s="335"/>
      <c r="V55" s="335"/>
      <c r="W55" s="335"/>
      <c r="X55" s="336"/>
      <c r="Y55" s="335"/>
      <c r="Z55" s="335"/>
      <c r="AA55" s="335"/>
      <c r="AB55" s="336"/>
      <c r="AC55" s="138">
        <f t="shared" si="2"/>
        <v>494</v>
      </c>
      <c r="AD55" s="138">
        <f t="shared" si="3"/>
        <v>390</v>
      </c>
      <c r="AE55" s="313">
        <f t="shared" si="4"/>
        <v>-104</v>
      </c>
      <c r="AF55" s="377">
        <f t="shared" si="5"/>
        <v>78.94736842105263</v>
      </c>
    </row>
    <row r="56" spans="1:32" ht="19.5" customHeight="1">
      <c r="A56" s="8">
        <v>23</v>
      </c>
      <c r="B56" s="586" t="s">
        <v>617</v>
      </c>
      <c r="C56" s="587"/>
      <c r="D56" s="587"/>
      <c r="E56" s="587"/>
      <c r="F56" s="587"/>
      <c r="G56" s="587"/>
      <c r="H56" s="587"/>
      <c r="I56" s="587"/>
      <c r="J56" s="587"/>
      <c r="K56" s="587"/>
      <c r="L56" s="588"/>
      <c r="M56" s="383"/>
      <c r="N56" s="383"/>
      <c r="O56" s="383"/>
      <c r="P56" s="384"/>
      <c r="Q56" s="382"/>
      <c r="R56" s="382">
        <v>1165</v>
      </c>
      <c r="S56" s="313">
        <f t="shared" si="0"/>
        <v>1165</v>
      </c>
      <c r="T56" s="384">
        <f t="shared" ref="T55:T56" si="8">R56*100</f>
        <v>116500</v>
      </c>
      <c r="U56" s="383"/>
      <c r="V56" s="383"/>
      <c r="W56" s="383"/>
      <c r="X56" s="384"/>
      <c r="Y56" s="383"/>
      <c r="Z56" s="383"/>
      <c r="AA56" s="383"/>
      <c r="AB56" s="384"/>
      <c r="AC56" s="138"/>
      <c r="AD56" s="138">
        <f t="shared" si="3"/>
        <v>1165</v>
      </c>
      <c r="AE56" s="313">
        <f t="shared" si="4"/>
        <v>1165</v>
      </c>
      <c r="AF56" s="384">
        <f>AD56*100</f>
        <v>116500</v>
      </c>
    </row>
    <row r="57" spans="1:32" ht="19.5" customHeight="1">
      <c r="A57" s="8">
        <v>24</v>
      </c>
      <c r="B57" s="586" t="s">
        <v>609</v>
      </c>
      <c r="C57" s="587"/>
      <c r="D57" s="587"/>
      <c r="E57" s="587"/>
      <c r="F57" s="587"/>
      <c r="G57" s="587"/>
      <c r="H57" s="587"/>
      <c r="I57" s="587"/>
      <c r="J57" s="587"/>
      <c r="K57" s="587"/>
      <c r="L57" s="588"/>
      <c r="M57" s="335"/>
      <c r="N57" s="335"/>
      <c r="O57" s="335"/>
      <c r="P57" s="336"/>
      <c r="Q57" s="374">
        <v>295</v>
      </c>
      <c r="R57" s="366">
        <v>931</v>
      </c>
      <c r="S57" s="313">
        <f t="shared" si="0"/>
        <v>636</v>
      </c>
      <c r="T57" s="350">
        <f>R57*100/Q57</f>
        <v>315.59322033898303</v>
      </c>
      <c r="U57" s="335"/>
      <c r="V57" s="335"/>
      <c r="W57" s="335"/>
      <c r="X57" s="336"/>
      <c r="Y57" s="335"/>
      <c r="Z57" s="335"/>
      <c r="AA57" s="335"/>
      <c r="AB57" s="336"/>
      <c r="AC57" s="138">
        <f t="shared" si="2"/>
        <v>295</v>
      </c>
      <c r="AD57" s="138">
        <f t="shared" si="3"/>
        <v>931</v>
      </c>
      <c r="AE57" s="313">
        <f t="shared" si="4"/>
        <v>636</v>
      </c>
      <c r="AF57" s="377">
        <f t="shared" si="5"/>
        <v>315.59322033898303</v>
      </c>
    </row>
    <row r="58" spans="1:32" ht="24.95" customHeight="1">
      <c r="A58" s="589" t="s">
        <v>57</v>
      </c>
      <c r="B58" s="590"/>
      <c r="C58" s="590"/>
      <c r="D58" s="590"/>
      <c r="E58" s="590"/>
      <c r="F58" s="590"/>
      <c r="G58" s="590"/>
      <c r="H58" s="590"/>
      <c r="I58" s="590"/>
      <c r="J58" s="590"/>
      <c r="K58" s="590"/>
      <c r="L58" s="591"/>
      <c r="M58" s="19"/>
      <c r="N58" s="19"/>
      <c r="O58" s="19"/>
      <c r="P58" s="20"/>
      <c r="Q58" s="19">
        <f>SUM(Q34:Q57)</f>
        <v>47294</v>
      </c>
      <c r="R58" s="334">
        <f>SUM(R34:R57)</f>
        <v>15739</v>
      </c>
      <c r="S58" s="306">
        <f t="shared" si="0"/>
        <v>-31555</v>
      </c>
      <c r="T58" s="20">
        <f>R58*100/Q58</f>
        <v>33.279062883241004</v>
      </c>
      <c r="U58" s="19">
        <f>SUM(U34:U57)</f>
        <v>10</v>
      </c>
      <c r="V58" s="19">
        <f>SUM(V34:V57)</f>
        <v>0</v>
      </c>
      <c r="W58" s="19">
        <f t="shared" ref="W58" si="9">V58-U58</f>
        <v>-10</v>
      </c>
      <c r="X58" s="20">
        <f>V58*100/U58</f>
        <v>0</v>
      </c>
      <c r="Y58" s="19"/>
      <c r="Z58" s="19"/>
      <c r="AA58" s="19"/>
      <c r="AB58" s="20"/>
      <c r="AC58" s="138">
        <f>M58+Q58+U58+Y58</f>
        <v>47304</v>
      </c>
      <c r="AD58" s="138">
        <f>R58</f>
        <v>15739</v>
      </c>
      <c r="AE58" s="306">
        <f t="shared" ref="AE58" si="10">AD58-AC58</f>
        <v>-31565</v>
      </c>
      <c r="AF58" s="20">
        <f>AD58*100/AC58</f>
        <v>33.272027735498057</v>
      </c>
    </row>
    <row r="59" spans="1:32" ht="24.95" customHeight="1">
      <c r="A59" s="589" t="s">
        <v>58</v>
      </c>
      <c r="B59" s="590"/>
      <c r="C59" s="590"/>
      <c r="D59" s="590"/>
      <c r="E59" s="590"/>
      <c r="F59" s="590"/>
      <c r="G59" s="590"/>
      <c r="H59" s="590"/>
      <c r="I59" s="590"/>
      <c r="J59" s="590"/>
      <c r="K59" s="590"/>
      <c r="L59" s="591"/>
      <c r="M59" s="72">
        <f>M58/AC58*100</f>
        <v>0</v>
      </c>
      <c r="N59" s="20"/>
      <c r="O59" s="20"/>
      <c r="P59" s="20"/>
      <c r="Q59" s="137"/>
      <c r="R59" s="332">
        <f>R58*100/AC58</f>
        <v>33.272027735498057</v>
      </c>
      <c r="S59" s="20">
        <f>S58*100/Q58</f>
        <v>-66.720937116759004</v>
      </c>
      <c r="T59" s="20">
        <f>R58*100/Q58</f>
        <v>33.279062883241004</v>
      </c>
      <c r="U59" s="72"/>
      <c r="V59" s="20">
        <f>V58*100</f>
        <v>0</v>
      </c>
      <c r="W59" s="20">
        <f>W58*100/U58</f>
        <v>-100</v>
      </c>
      <c r="X59" s="20">
        <f>V58*100/U58</f>
        <v>0</v>
      </c>
      <c r="Y59" s="72">
        <f>Y58/AC58*100</f>
        <v>0</v>
      </c>
      <c r="Z59" s="20"/>
      <c r="AA59" s="20"/>
      <c r="AB59" s="20"/>
      <c r="AC59" s="137">
        <f>AC58/AC58*100</f>
        <v>100</v>
      </c>
      <c r="AD59" s="20">
        <f>AD58*100/AC58</f>
        <v>33.272027735498057</v>
      </c>
      <c r="AE59" s="20">
        <f>AE58*100/AC58</f>
        <v>-66.727972264501943</v>
      </c>
      <c r="AF59" s="20">
        <f>AD58*100/AC58</f>
        <v>33.272027735498057</v>
      </c>
    </row>
    <row r="60" spans="1:32" ht="15" customHeight="1">
      <c r="A60" s="57"/>
      <c r="B60" s="57"/>
      <c r="C60" s="57"/>
      <c r="D60" s="73"/>
      <c r="E60" s="73"/>
      <c r="F60" s="73"/>
      <c r="G60" s="73"/>
      <c r="H60" s="73"/>
      <c r="I60" s="73"/>
      <c r="J60" s="73"/>
      <c r="K60" s="73"/>
      <c r="L60" s="73"/>
      <c r="M60" s="73"/>
      <c r="N60" s="73"/>
      <c r="O60" s="73"/>
      <c r="P60" s="73"/>
      <c r="Q60" s="73"/>
      <c r="R60" s="73"/>
      <c r="S60" s="73"/>
      <c r="T60" s="73"/>
      <c r="U60" s="73"/>
      <c r="V60" s="73"/>
    </row>
    <row r="61" spans="1:32" ht="15" customHeight="1">
      <c r="A61" s="57"/>
      <c r="B61" s="57"/>
      <c r="C61" s="57"/>
      <c r="D61" s="73"/>
      <c r="E61" s="73"/>
      <c r="F61" s="73"/>
      <c r="G61" s="73"/>
      <c r="H61" s="73"/>
      <c r="I61" s="73"/>
      <c r="J61" s="73"/>
      <c r="K61" s="73"/>
      <c r="L61" s="73"/>
      <c r="M61" s="73"/>
      <c r="N61" s="73"/>
      <c r="O61" s="73"/>
      <c r="P61" s="73"/>
      <c r="Q61" s="73"/>
      <c r="R61" s="73"/>
      <c r="S61" s="73"/>
      <c r="T61" s="73"/>
      <c r="U61" s="73"/>
      <c r="V61" s="73"/>
    </row>
    <row r="62" spans="1:32" s="86" customFormat="1" ht="31.5" customHeight="1">
      <c r="A62" s="527" t="s">
        <v>254</v>
      </c>
      <c r="B62" s="527"/>
      <c r="C62" s="527"/>
      <c r="D62" s="527"/>
      <c r="E62" s="527"/>
      <c r="F62" s="527"/>
      <c r="G62" s="527"/>
      <c r="H62" s="527"/>
      <c r="I62" s="527"/>
      <c r="J62" s="527"/>
      <c r="K62" s="527"/>
      <c r="L62" s="527"/>
      <c r="M62" s="527"/>
      <c r="N62" s="527"/>
      <c r="O62" s="527"/>
      <c r="P62" s="527"/>
      <c r="Q62" s="527"/>
      <c r="R62" s="527"/>
      <c r="S62" s="527"/>
      <c r="T62" s="527"/>
      <c r="U62" s="527"/>
      <c r="V62" s="527"/>
      <c r="W62" s="527"/>
      <c r="X62" s="527"/>
      <c r="Y62" s="527"/>
      <c r="Z62" s="527"/>
      <c r="AA62" s="527"/>
      <c r="AB62" s="527"/>
      <c r="AC62" s="527"/>
      <c r="AD62" s="527"/>
      <c r="AE62" s="527"/>
      <c r="AF62" s="527"/>
    </row>
    <row r="63" spans="1:32" s="74" customFormat="1">
      <c r="A63" s="24"/>
      <c r="B63" s="24"/>
      <c r="C63" s="24"/>
      <c r="D63" s="24"/>
      <c r="E63" s="24"/>
      <c r="F63" s="24"/>
      <c r="G63" s="24"/>
      <c r="H63" s="24"/>
      <c r="I63" s="24"/>
      <c r="J63" s="24"/>
      <c r="L63" s="24"/>
      <c r="AD63" s="531" t="s">
        <v>236</v>
      </c>
      <c r="AE63" s="531"/>
      <c r="AF63" s="531"/>
    </row>
    <row r="64" spans="1:32" s="75" customFormat="1" ht="34.5" customHeight="1">
      <c r="A64" s="503" t="s">
        <v>209</v>
      </c>
      <c r="B64" s="555" t="s">
        <v>338</v>
      </c>
      <c r="C64" s="557"/>
      <c r="D64" s="517" t="s">
        <v>370</v>
      </c>
      <c r="E64" s="519"/>
      <c r="F64" s="555" t="s">
        <v>210</v>
      </c>
      <c r="G64" s="557"/>
      <c r="H64" s="517" t="s">
        <v>211</v>
      </c>
      <c r="I64" s="519"/>
      <c r="J64" s="604" t="s">
        <v>371</v>
      </c>
      <c r="K64" s="605"/>
      <c r="L64" s="615" t="s">
        <v>367</v>
      </c>
      <c r="M64" s="615"/>
      <c r="N64" s="615"/>
      <c r="O64" s="615"/>
      <c r="P64" s="615"/>
      <c r="Q64" s="615"/>
      <c r="R64" s="615"/>
      <c r="S64" s="615"/>
      <c r="T64" s="615"/>
      <c r="U64" s="615"/>
      <c r="V64" s="539" t="s">
        <v>339</v>
      </c>
      <c r="W64" s="539"/>
      <c r="X64" s="539"/>
      <c r="Y64" s="539"/>
      <c r="Z64" s="539"/>
      <c r="AA64" s="539" t="s">
        <v>340</v>
      </c>
      <c r="AB64" s="539"/>
      <c r="AC64" s="539"/>
      <c r="AD64" s="539"/>
      <c r="AE64" s="539"/>
      <c r="AF64" s="539"/>
    </row>
    <row r="65" spans="1:32" s="75" customFormat="1" ht="52.5" customHeight="1">
      <c r="A65" s="503"/>
      <c r="B65" s="558"/>
      <c r="C65" s="560"/>
      <c r="D65" s="593"/>
      <c r="E65" s="594"/>
      <c r="F65" s="558"/>
      <c r="G65" s="560"/>
      <c r="H65" s="593"/>
      <c r="I65" s="594"/>
      <c r="J65" s="606"/>
      <c r="K65" s="607"/>
      <c r="L65" s="539" t="s">
        <v>307</v>
      </c>
      <c r="M65" s="539"/>
      <c r="N65" s="447" t="s">
        <v>311</v>
      </c>
      <c r="O65" s="447"/>
      <c r="P65" s="539" t="s">
        <v>312</v>
      </c>
      <c r="Q65" s="539"/>
      <c r="R65" s="539"/>
      <c r="S65" s="539"/>
      <c r="T65" s="539"/>
      <c r="U65" s="539"/>
      <c r="V65" s="539"/>
      <c r="W65" s="539"/>
      <c r="X65" s="539"/>
      <c r="Y65" s="539"/>
      <c r="Z65" s="539"/>
      <c r="AA65" s="539"/>
      <c r="AB65" s="539"/>
      <c r="AC65" s="539"/>
      <c r="AD65" s="539"/>
      <c r="AE65" s="539"/>
      <c r="AF65" s="539"/>
    </row>
    <row r="66" spans="1:32" s="76" customFormat="1" ht="82.5" customHeight="1">
      <c r="A66" s="503"/>
      <c r="B66" s="561"/>
      <c r="C66" s="563"/>
      <c r="D66" s="520"/>
      <c r="E66" s="522"/>
      <c r="F66" s="561"/>
      <c r="G66" s="563"/>
      <c r="H66" s="520"/>
      <c r="I66" s="522"/>
      <c r="J66" s="608"/>
      <c r="K66" s="609"/>
      <c r="L66" s="539"/>
      <c r="M66" s="539"/>
      <c r="N66" s="447"/>
      <c r="O66" s="447"/>
      <c r="P66" s="539" t="s">
        <v>308</v>
      </c>
      <c r="Q66" s="539"/>
      <c r="R66" s="539" t="s">
        <v>309</v>
      </c>
      <c r="S66" s="539"/>
      <c r="T66" s="539" t="s">
        <v>469</v>
      </c>
      <c r="U66" s="539"/>
      <c r="V66" s="539"/>
      <c r="W66" s="539"/>
      <c r="X66" s="539"/>
      <c r="Y66" s="539"/>
      <c r="Z66" s="539"/>
      <c r="AA66" s="539"/>
      <c r="AB66" s="539"/>
      <c r="AC66" s="539"/>
      <c r="AD66" s="539"/>
      <c r="AE66" s="539"/>
      <c r="AF66" s="539"/>
    </row>
    <row r="67" spans="1:32" s="75" customFormat="1" ht="18.75" customHeight="1">
      <c r="A67" s="41">
        <v>1</v>
      </c>
      <c r="B67" s="464">
        <v>2</v>
      </c>
      <c r="C67" s="465"/>
      <c r="D67" s="464">
        <v>3</v>
      </c>
      <c r="E67" s="465"/>
      <c r="F67" s="464">
        <v>4</v>
      </c>
      <c r="G67" s="465"/>
      <c r="H67" s="464">
        <v>5</v>
      </c>
      <c r="I67" s="465"/>
      <c r="J67" s="464">
        <v>6</v>
      </c>
      <c r="K67" s="465"/>
      <c r="L67" s="464">
        <v>7</v>
      </c>
      <c r="M67" s="465"/>
      <c r="N67" s="464">
        <v>8</v>
      </c>
      <c r="O67" s="465"/>
      <c r="P67" s="447">
        <v>9</v>
      </c>
      <c r="Q67" s="447"/>
      <c r="R67" s="503">
        <v>10</v>
      </c>
      <c r="S67" s="503"/>
      <c r="T67" s="447">
        <v>11</v>
      </c>
      <c r="U67" s="447"/>
      <c r="V67" s="447">
        <v>12</v>
      </c>
      <c r="W67" s="447"/>
      <c r="X67" s="447"/>
      <c r="Y67" s="447"/>
      <c r="Z67" s="447"/>
      <c r="AA67" s="447">
        <v>13</v>
      </c>
      <c r="AB67" s="447"/>
      <c r="AC67" s="447"/>
      <c r="AD67" s="447"/>
      <c r="AE67" s="447"/>
      <c r="AF67" s="447"/>
    </row>
    <row r="68" spans="1:32" s="75" customFormat="1" ht="60" customHeight="1">
      <c r="A68" s="157">
        <v>1</v>
      </c>
      <c r="B68" s="528" t="s">
        <v>543</v>
      </c>
      <c r="C68" s="529"/>
      <c r="D68" s="488" t="s">
        <v>678</v>
      </c>
      <c r="E68" s="490"/>
      <c r="F68" s="481">
        <v>61253</v>
      </c>
      <c r="G68" s="483"/>
      <c r="H68" s="481">
        <v>118</v>
      </c>
      <c r="I68" s="483"/>
      <c r="J68" s="481">
        <v>20034</v>
      </c>
      <c r="K68" s="483"/>
      <c r="L68" s="479">
        <v>5675</v>
      </c>
      <c r="M68" s="480"/>
      <c r="N68" s="479">
        <v>5675</v>
      </c>
      <c r="O68" s="480"/>
      <c r="P68" s="491"/>
      <c r="Q68" s="491"/>
      <c r="R68" s="491"/>
      <c r="S68" s="491"/>
      <c r="T68" s="479">
        <f>N68</f>
        <v>5675</v>
      </c>
      <c r="U68" s="480"/>
      <c r="V68" s="612" t="s">
        <v>593</v>
      </c>
      <c r="W68" s="613"/>
      <c r="X68" s="613"/>
      <c r="Y68" s="613"/>
      <c r="Z68" s="614"/>
      <c r="AA68" s="595" t="s">
        <v>562</v>
      </c>
      <c r="AB68" s="596"/>
      <c r="AC68" s="596"/>
      <c r="AD68" s="596"/>
      <c r="AE68" s="596"/>
      <c r="AF68" s="597"/>
    </row>
    <row r="69" spans="1:32" s="75" customFormat="1" ht="80.25" customHeight="1">
      <c r="A69" s="157">
        <v>2</v>
      </c>
      <c r="B69" s="528" t="s">
        <v>580</v>
      </c>
      <c r="C69" s="529"/>
      <c r="D69" s="488" t="s">
        <v>679</v>
      </c>
      <c r="E69" s="490"/>
      <c r="F69" s="479">
        <v>174015</v>
      </c>
      <c r="G69" s="480"/>
      <c r="H69" s="481"/>
      <c r="I69" s="483"/>
      <c r="J69" s="481">
        <v>59822</v>
      </c>
      <c r="K69" s="483"/>
      <c r="L69" s="479">
        <v>3055</v>
      </c>
      <c r="M69" s="480"/>
      <c r="N69" s="479">
        <v>3055</v>
      </c>
      <c r="O69" s="480"/>
      <c r="P69" s="459"/>
      <c r="Q69" s="459"/>
      <c r="R69" s="459"/>
      <c r="S69" s="459"/>
      <c r="T69" s="479">
        <f t="shared" ref="T69:T75" si="11">N69</f>
        <v>3055</v>
      </c>
      <c r="U69" s="480"/>
      <c r="V69" s="538" t="s">
        <v>705</v>
      </c>
      <c r="W69" s="538"/>
      <c r="X69" s="538"/>
      <c r="Y69" s="538"/>
      <c r="Z69" s="538"/>
      <c r="AA69" s="534" t="s">
        <v>563</v>
      </c>
      <c r="AB69" s="535"/>
      <c r="AC69" s="535"/>
      <c r="AD69" s="535"/>
      <c r="AE69" s="535"/>
      <c r="AF69" s="536"/>
    </row>
    <row r="70" spans="1:32" s="75" customFormat="1" ht="60.75" customHeight="1">
      <c r="A70" s="157">
        <v>3</v>
      </c>
      <c r="B70" s="528" t="s">
        <v>533</v>
      </c>
      <c r="C70" s="529"/>
      <c r="D70" s="488" t="s">
        <v>678</v>
      </c>
      <c r="E70" s="490"/>
      <c r="F70" s="481">
        <v>70130</v>
      </c>
      <c r="G70" s="483"/>
      <c r="H70" s="481"/>
      <c r="I70" s="483"/>
      <c r="J70" s="479">
        <v>54322</v>
      </c>
      <c r="K70" s="480"/>
      <c r="L70" s="479">
        <v>3</v>
      </c>
      <c r="M70" s="480"/>
      <c r="N70" s="479">
        <v>3</v>
      </c>
      <c r="O70" s="480"/>
      <c r="P70" s="459"/>
      <c r="Q70" s="459"/>
      <c r="R70" s="459"/>
      <c r="S70" s="459"/>
      <c r="T70" s="479">
        <f t="shared" si="11"/>
        <v>3</v>
      </c>
      <c r="U70" s="480"/>
      <c r="V70" s="538" t="s">
        <v>686</v>
      </c>
      <c r="W70" s="538"/>
      <c r="X70" s="538"/>
      <c r="Y70" s="538"/>
      <c r="Z70" s="538"/>
      <c r="AA70" s="534" t="s">
        <v>564</v>
      </c>
      <c r="AB70" s="535"/>
      <c r="AC70" s="535"/>
      <c r="AD70" s="535"/>
      <c r="AE70" s="535"/>
      <c r="AF70" s="536"/>
    </row>
    <row r="71" spans="1:32" s="75" customFormat="1" ht="83.25" customHeight="1">
      <c r="A71" s="157">
        <v>4</v>
      </c>
      <c r="B71" s="602" t="s">
        <v>560</v>
      </c>
      <c r="C71" s="603"/>
      <c r="D71" s="488" t="s">
        <v>679</v>
      </c>
      <c r="E71" s="490"/>
      <c r="F71" s="479">
        <v>523</v>
      </c>
      <c r="G71" s="480"/>
      <c r="H71" s="481"/>
      <c r="I71" s="483"/>
      <c r="J71" s="479">
        <v>168</v>
      </c>
      <c r="K71" s="480"/>
      <c r="L71" s="479">
        <v>355</v>
      </c>
      <c r="M71" s="480"/>
      <c r="N71" s="479">
        <v>355</v>
      </c>
      <c r="O71" s="480"/>
      <c r="P71" s="459"/>
      <c r="Q71" s="459"/>
      <c r="R71" s="459"/>
      <c r="S71" s="459"/>
      <c r="T71" s="479">
        <f t="shared" si="11"/>
        <v>355</v>
      </c>
      <c r="U71" s="480"/>
      <c r="V71" s="538"/>
      <c r="W71" s="538"/>
      <c r="X71" s="538"/>
      <c r="Y71" s="538"/>
      <c r="Z71" s="538"/>
      <c r="AA71" s="534" t="s">
        <v>565</v>
      </c>
      <c r="AB71" s="535"/>
      <c r="AC71" s="535"/>
      <c r="AD71" s="535"/>
      <c r="AE71" s="535"/>
      <c r="AF71" s="536"/>
    </row>
    <row r="72" spans="1:32" s="75" customFormat="1" ht="83.25" customHeight="1">
      <c r="A72" s="157">
        <v>4</v>
      </c>
      <c r="B72" s="602" t="s">
        <v>560</v>
      </c>
      <c r="C72" s="603"/>
      <c r="D72" s="488" t="s">
        <v>679</v>
      </c>
      <c r="E72" s="490"/>
      <c r="F72" s="479"/>
      <c r="G72" s="480"/>
      <c r="H72" s="481"/>
      <c r="I72" s="483"/>
      <c r="J72" s="479">
        <v>-39</v>
      </c>
      <c r="K72" s="480"/>
      <c r="L72" s="479"/>
      <c r="M72" s="480"/>
      <c r="N72" s="479"/>
      <c r="O72" s="480"/>
      <c r="P72" s="459"/>
      <c r="Q72" s="459"/>
      <c r="R72" s="459"/>
      <c r="S72" s="459"/>
      <c r="T72" s="479">
        <f t="shared" ref="T72" si="12">N72</f>
        <v>0</v>
      </c>
      <c r="U72" s="480"/>
      <c r="V72" s="538"/>
      <c r="W72" s="538"/>
      <c r="X72" s="538"/>
      <c r="Y72" s="538"/>
      <c r="Z72" s="538"/>
      <c r="AA72" s="534" t="s">
        <v>565</v>
      </c>
      <c r="AB72" s="535"/>
      <c r="AC72" s="535"/>
      <c r="AD72" s="535"/>
      <c r="AE72" s="535"/>
      <c r="AF72" s="536"/>
    </row>
    <row r="73" spans="1:32" s="75" customFormat="1" ht="80.25" customHeight="1">
      <c r="A73" s="157">
        <v>5</v>
      </c>
      <c r="B73" s="528" t="s">
        <v>652</v>
      </c>
      <c r="C73" s="529"/>
      <c r="D73" s="488" t="s">
        <v>680</v>
      </c>
      <c r="E73" s="490"/>
      <c r="F73" s="479">
        <v>3</v>
      </c>
      <c r="G73" s="480"/>
      <c r="H73" s="481"/>
      <c r="I73" s="483"/>
      <c r="J73" s="479"/>
      <c r="K73" s="480"/>
      <c r="L73" s="479">
        <v>3</v>
      </c>
      <c r="M73" s="480"/>
      <c r="N73" s="479">
        <v>3</v>
      </c>
      <c r="O73" s="480"/>
      <c r="P73" s="459"/>
      <c r="Q73" s="459"/>
      <c r="R73" s="459"/>
      <c r="S73" s="459"/>
      <c r="T73" s="479">
        <f t="shared" si="11"/>
        <v>3</v>
      </c>
      <c r="U73" s="480"/>
      <c r="V73" s="538"/>
      <c r="W73" s="538"/>
      <c r="X73" s="538"/>
      <c r="Y73" s="538"/>
      <c r="Z73" s="538"/>
      <c r="AA73" s="534" t="s">
        <v>681</v>
      </c>
      <c r="AB73" s="535"/>
      <c r="AC73" s="535"/>
      <c r="AD73" s="535"/>
      <c r="AE73" s="535"/>
      <c r="AF73" s="536"/>
    </row>
    <row r="74" spans="1:32" s="75" customFormat="1" ht="123.75" customHeight="1">
      <c r="A74" s="157">
        <v>6</v>
      </c>
      <c r="B74" s="528" t="s">
        <v>544</v>
      </c>
      <c r="C74" s="529"/>
      <c r="D74" s="488" t="s">
        <v>678</v>
      </c>
      <c r="E74" s="490"/>
      <c r="F74" s="481">
        <v>160110</v>
      </c>
      <c r="G74" s="483"/>
      <c r="H74" s="481"/>
      <c r="I74" s="483"/>
      <c r="J74" s="479">
        <v>1548</v>
      </c>
      <c r="K74" s="480"/>
      <c r="L74" s="479"/>
      <c r="M74" s="480"/>
      <c r="N74" s="479"/>
      <c r="O74" s="480"/>
      <c r="P74" s="459"/>
      <c r="Q74" s="459"/>
      <c r="R74" s="459"/>
      <c r="S74" s="459"/>
      <c r="T74" s="479">
        <f t="shared" si="11"/>
        <v>0</v>
      </c>
      <c r="U74" s="480"/>
      <c r="V74" s="538" t="s">
        <v>579</v>
      </c>
      <c r="W74" s="538"/>
      <c r="X74" s="538"/>
      <c r="Y74" s="538"/>
      <c r="Z74" s="538"/>
      <c r="AA74" s="534" t="s">
        <v>566</v>
      </c>
      <c r="AB74" s="535"/>
      <c r="AC74" s="535"/>
      <c r="AD74" s="535"/>
      <c r="AE74" s="535"/>
      <c r="AF74" s="536"/>
    </row>
    <row r="75" spans="1:32" s="75" customFormat="1" ht="73.5" customHeight="1">
      <c r="A75" s="157">
        <v>7</v>
      </c>
      <c r="B75" s="528" t="s">
        <v>534</v>
      </c>
      <c r="C75" s="529"/>
      <c r="D75" s="488" t="s">
        <v>682</v>
      </c>
      <c r="E75" s="490"/>
      <c r="F75" s="479">
        <v>28247</v>
      </c>
      <c r="G75" s="480"/>
      <c r="H75" s="481"/>
      <c r="I75" s="483"/>
      <c r="J75" s="479">
        <v>218</v>
      </c>
      <c r="K75" s="480"/>
      <c r="L75" s="479"/>
      <c r="M75" s="480"/>
      <c r="N75" s="479"/>
      <c r="O75" s="480"/>
      <c r="P75" s="459"/>
      <c r="Q75" s="459"/>
      <c r="R75" s="459"/>
      <c r="S75" s="459"/>
      <c r="T75" s="479">
        <f t="shared" si="11"/>
        <v>0</v>
      </c>
      <c r="U75" s="480"/>
      <c r="V75" s="538" t="s">
        <v>535</v>
      </c>
      <c r="W75" s="538"/>
      <c r="X75" s="538"/>
      <c r="Y75" s="538"/>
      <c r="Z75" s="538"/>
      <c r="AA75" s="534" t="s">
        <v>567</v>
      </c>
      <c r="AB75" s="535"/>
      <c r="AC75" s="535"/>
      <c r="AD75" s="535"/>
      <c r="AE75" s="535"/>
      <c r="AF75" s="536"/>
    </row>
    <row r="76" spans="1:32" s="75" customFormat="1" ht="66" customHeight="1">
      <c r="A76" s="157">
        <v>8</v>
      </c>
      <c r="B76" s="532" t="s">
        <v>494</v>
      </c>
      <c r="C76" s="533"/>
      <c r="D76" s="488">
        <v>2017</v>
      </c>
      <c r="E76" s="490"/>
      <c r="F76" s="479">
        <v>3</v>
      </c>
      <c r="G76" s="480"/>
      <c r="H76" s="481"/>
      <c r="I76" s="483"/>
      <c r="J76" s="479">
        <v>3</v>
      </c>
      <c r="K76" s="480"/>
      <c r="L76" s="479"/>
      <c r="M76" s="480"/>
      <c r="N76" s="479"/>
      <c r="O76" s="480"/>
      <c r="P76" s="459"/>
      <c r="Q76" s="459"/>
      <c r="R76" s="459"/>
      <c r="S76" s="459"/>
      <c r="T76" s="479">
        <f t="shared" ref="T76:T83" si="13">N76</f>
        <v>0</v>
      </c>
      <c r="U76" s="480"/>
      <c r="V76" s="551"/>
      <c r="W76" s="551"/>
      <c r="X76" s="551"/>
      <c r="Y76" s="551"/>
      <c r="Z76" s="551"/>
      <c r="AA76" s="491"/>
      <c r="AB76" s="491"/>
      <c r="AC76" s="491"/>
      <c r="AD76" s="491"/>
      <c r="AE76" s="491"/>
      <c r="AF76" s="491"/>
    </row>
    <row r="77" spans="1:32" s="75" customFormat="1" ht="66" customHeight="1">
      <c r="A77" s="157">
        <v>9</v>
      </c>
      <c r="B77" s="610" t="s">
        <v>592</v>
      </c>
      <c r="C77" s="611"/>
      <c r="D77" s="488" t="s">
        <v>679</v>
      </c>
      <c r="E77" s="490"/>
      <c r="F77" s="479">
        <v>522</v>
      </c>
      <c r="G77" s="480"/>
      <c r="H77" s="481"/>
      <c r="I77" s="483"/>
      <c r="J77" s="479">
        <v>72</v>
      </c>
      <c r="K77" s="480"/>
      <c r="L77" s="479">
        <v>450</v>
      </c>
      <c r="M77" s="480"/>
      <c r="N77" s="479">
        <v>450</v>
      </c>
      <c r="O77" s="480"/>
      <c r="P77" s="459"/>
      <c r="Q77" s="459"/>
      <c r="R77" s="459"/>
      <c r="S77" s="459"/>
      <c r="T77" s="479">
        <f t="shared" ref="T77" si="14">N77</f>
        <v>450</v>
      </c>
      <c r="U77" s="480"/>
      <c r="V77" s="551"/>
      <c r="W77" s="551"/>
      <c r="X77" s="551"/>
      <c r="Y77" s="551"/>
      <c r="Z77" s="551"/>
      <c r="AA77" s="534" t="s">
        <v>581</v>
      </c>
      <c r="AB77" s="535"/>
      <c r="AC77" s="535"/>
      <c r="AD77" s="535"/>
      <c r="AE77" s="535"/>
      <c r="AF77" s="536"/>
    </row>
    <row r="78" spans="1:32" s="75" customFormat="1" ht="90" customHeight="1">
      <c r="A78" s="157"/>
      <c r="B78" s="610" t="s">
        <v>653</v>
      </c>
      <c r="C78" s="611"/>
      <c r="D78" s="488" t="s">
        <v>680</v>
      </c>
      <c r="E78" s="490"/>
      <c r="F78" s="479">
        <v>68</v>
      </c>
      <c r="G78" s="480"/>
      <c r="H78" s="481"/>
      <c r="I78" s="483"/>
      <c r="J78" s="479">
        <v>39</v>
      </c>
      <c r="K78" s="480"/>
      <c r="L78" s="479">
        <v>68</v>
      </c>
      <c r="M78" s="480"/>
      <c r="N78" s="479">
        <v>68</v>
      </c>
      <c r="O78" s="480"/>
      <c r="P78" s="459"/>
      <c r="Q78" s="459"/>
      <c r="R78" s="459"/>
      <c r="S78" s="459"/>
      <c r="T78" s="479">
        <f t="shared" ref="T78:T82" si="15">N78</f>
        <v>68</v>
      </c>
      <c r="U78" s="480"/>
      <c r="V78" s="551"/>
      <c r="W78" s="551"/>
      <c r="X78" s="551"/>
      <c r="Y78" s="551"/>
      <c r="Z78" s="551"/>
      <c r="AA78" s="534" t="s">
        <v>683</v>
      </c>
      <c r="AB78" s="535"/>
      <c r="AC78" s="535"/>
      <c r="AD78" s="535"/>
      <c r="AE78" s="535"/>
      <c r="AF78" s="536"/>
    </row>
    <row r="79" spans="1:32" s="75" customFormat="1" ht="85.5" customHeight="1">
      <c r="A79" s="157"/>
      <c r="B79" s="610" t="s">
        <v>654</v>
      </c>
      <c r="C79" s="611"/>
      <c r="D79" s="488">
        <v>2021</v>
      </c>
      <c r="E79" s="490"/>
      <c r="F79" s="479">
        <v>22</v>
      </c>
      <c r="G79" s="480"/>
      <c r="H79" s="481"/>
      <c r="I79" s="483"/>
      <c r="J79" s="479"/>
      <c r="K79" s="480"/>
      <c r="L79" s="479">
        <v>22</v>
      </c>
      <c r="M79" s="480"/>
      <c r="N79" s="479">
        <v>22</v>
      </c>
      <c r="O79" s="480"/>
      <c r="P79" s="459"/>
      <c r="Q79" s="459"/>
      <c r="R79" s="459"/>
      <c r="S79" s="459"/>
      <c r="T79" s="479">
        <f t="shared" si="15"/>
        <v>22</v>
      </c>
      <c r="U79" s="480"/>
      <c r="V79" s="551"/>
      <c r="W79" s="551"/>
      <c r="X79" s="551"/>
      <c r="Y79" s="551"/>
      <c r="Z79" s="551"/>
      <c r="AA79" s="534" t="s">
        <v>684</v>
      </c>
      <c r="AB79" s="535"/>
      <c r="AC79" s="535"/>
      <c r="AD79" s="535"/>
      <c r="AE79" s="535"/>
      <c r="AF79" s="536"/>
    </row>
    <row r="80" spans="1:32" s="75" customFormat="1" ht="105.75" customHeight="1">
      <c r="A80" s="157"/>
      <c r="B80" s="610" t="s">
        <v>655</v>
      </c>
      <c r="C80" s="611"/>
      <c r="D80" s="488" t="s">
        <v>680</v>
      </c>
      <c r="E80" s="490"/>
      <c r="F80" s="479">
        <v>105</v>
      </c>
      <c r="G80" s="480"/>
      <c r="H80" s="481"/>
      <c r="I80" s="483"/>
      <c r="J80" s="479"/>
      <c r="K80" s="480"/>
      <c r="L80" s="479">
        <v>105</v>
      </c>
      <c r="M80" s="480"/>
      <c r="N80" s="479">
        <v>105</v>
      </c>
      <c r="O80" s="480"/>
      <c r="P80" s="459"/>
      <c r="Q80" s="459"/>
      <c r="R80" s="459"/>
      <c r="S80" s="459"/>
      <c r="T80" s="479">
        <f t="shared" si="15"/>
        <v>105</v>
      </c>
      <c r="U80" s="480"/>
      <c r="V80" s="551"/>
      <c r="W80" s="551"/>
      <c r="X80" s="551"/>
      <c r="Y80" s="551"/>
      <c r="Z80" s="551"/>
      <c r="AA80" s="534"/>
      <c r="AB80" s="535"/>
      <c r="AC80" s="535"/>
      <c r="AD80" s="535"/>
      <c r="AE80" s="535"/>
      <c r="AF80" s="536"/>
    </row>
    <row r="81" spans="1:32" s="75" customFormat="1" ht="90.75" customHeight="1">
      <c r="A81" s="157"/>
      <c r="B81" s="610" t="s">
        <v>656</v>
      </c>
      <c r="C81" s="611"/>
      <c r="D81" s="488" t="s">
        <v>680</v>
      </c>
      <c r="E81" s="490"/>
      <c r="F81" s="479">
        <v>57</v>
      </c>
      <c r="G81" s="480"/>
      <c r="H81" s="481"/>
      <c r="I81" s="483"/>
      <c r="J81" s="479"/>
      <c r="K81" s="480"/>
      <c r="L81" s="479">
        <v>57</v>
      </c>
      <c r="M81" s="480"/>
      <c r="N81" s="479">
        <v>57</v>
      </c>
      <c r="O81" s="480"/>
      <c r="P81" s="459"/>
      <c r="Q81" s="459"/>
      <c r="R81" s="459"/>
      <c r="S81" s="459"/>
      <c r="T81" s="479">
        <f t="shared" si="15"/>
        <v>57</v>
      </c>
      <c r="U81" s="480"/>
      <c r="V81" s="551"/>
      <c r="W81" s="551"/>
      <c r="X81" s="551"/>
      <c r="Y81" s="551"/>
      <c r="Z81" s="551"/>
      <c r="AA81" s="534"/>
      <c r="AB81" s="535"/>
      <c r="AC81" s="535"/>
      <c r="AD81" s="535"/>
      <c r="AE81" s="535"/>
      <c r="AF81" s="536"/>
    </row>
    <row r="82" spans="1:32" s="75" customFormat="1" ht="57.75" customHeight="1">
      <c r="A82" s="157"/>
      <c r="B82" s="610" t="s">
        <v>657</v>
      </c>
      <c r="C82" s="611"/>
      <c r="D82" s="488" t="s">
        <v>680</v>
      </c>
      <c r="E82" s="490"/>
      <c r="F82" s="479">
        <v>74</v>
      </c>
      <c r="G82" s="480"/>
      <c r="H82" s="481"/>
      <c r="I82" s="483"/>
      <c r="J82" s="479"/>
      <c r="K82" s="480"/>
      <c r="L82" s="479">
        <v>74</v>
      </c>
      <c r="M82" s="480"/>
      <c r="N82" s="479">
        <v>74</v>
      </c>
      <c r="O82" s="480"/>
      <c r="P82" s="459"/>
      <c r="Q82" s="459"/>
      <c r="R82" s="459"/>
      <c r="S82" s="459"/>
      <c r="T82" s="479">
        <f t="shared" si="15"/>
        <v>74</v>
      </c>
      <c r="U82" s="480"/>
      <c r="V82" s="551"/>
      <c r="W82" s="551"/>
      <c r="X82" s="551"/>
      <c r="Y82" s="551"/>
      <c r="Z82" s="551"/>
      <c r="AA82" s="534"/>
      <c r="AB82" s="535"/>
      <c r="AC82" s="535"/>
      <c r="AD82" s="535"/>
      <c r="AE82" s="535"/>
      <c r="AF82" s="536"/>
    </row>
    <row r="83" spans="1:32" s="75" customFormat="1" ht="69" customHeight="1">
      <c r="A83" s="157">
        <v>10</v>
      </c>
      <c r="B83" s="610" t="s">
        <v>685</v>
      </c>
      <c r="C83" s="611"/>
      <c r="D83" s="488" t="s">
        <v>630</v>
      </c>
      <c r="E83" s="490"/>
      <c r="F83" s="479">
        <v>104</v>
      </c>
      <c r="G83" s="480"/>
      <c r="H83" s="481"/>
      <c r="I83" s="483"/>
      <c r="J83" s="479">
        <v>10</v>
      </c>
      <c r="K83" s="480"/>
      <c r="L83" s="479"/>
      <c r="M83" s="480"/>
      <c r="N83" s="479">
        <f>R39</f>
        <v>0</v>
      </c>
      <c r="O83" s="480"/>
      <c r="P83" s="459"/>
      <c r="Q83" s="459"/>
      <c r="R83" s="459"/>
      <c r="S83" s="459"/>
      <c r="T83" s="479">
        <f t="shared" si="13"/>
        <v>0</v>
      </c>
      <c r="U83" s="480"/>
      <c r="V83" s="551"/>
      <c r="W83" s="551"/>
      <c r="X83" s="551"/>
      <c r="Y83" s="551"/>
      <c r="Z83" s="551"/>
      <c r="AA83" s="534"/>
      <c r="AB83" s="535"/>
      <c r="AC83" s="535"/>
      <c r="AD83" s="535"/>
      <c r="AE83" s="535"/>
      <c r="AF83" s="536"/>
    </row>
    <row r="84" spans="1:32" s="75" customFormat="1" ht="24.95" customHeight="1">
      <c r="A84" s="599" t="s">
        <v>57</v>
      </c>
      <c r="B84" s="600"/>
      <c r="C84" s="600"/>
      <c r="D84" s="600"/>
      <c r="E84" s="601"/>
      <c r="F84" s="481">
        <f>SUM(F68:G83)</f>
        <v>495236</v>
      </c>
      <c r="G84" s="483"/>
      <c r="H84" s="481"/>
      <c r="I84" s="483"/>
      <c r="J84" s="481">
        <f>SUM(J68:K83)</f>
        <v>136197</v>
      </c>
      <c r="K84" s="483"/>
      <c r="L84" s="479">
        <f>SUM(L68:M83)</f>
        <v>9867</v>
      </c>
      <c r="M84" s="480"/>
      <c r="N84" s="479">
        <f>SUM(N68:O83)</f>
        <v>9867</v>
      </c>
      <c r="O84" s="480"/>
      <c r="P84" s="479"/>
      <c r="Q84" s="480"/>
      <c r="R84" s="479"/>
      <c r="S84" s="480"/>
      <c r="T84" s="479">
        <f>SUM(T68:U83)</f>
        <v>9867</v>
      </c>
      <c r="U84" s="480"/>
      <c r="V84" s="537"/>
      <c r="W84" s="537"/>
      <c r="X84" s="537"/>
      <c r="Y84" s="537"/>
      <c r="Z84" s="537"/>
      <c r="AA84" s="491"/>
      <c r="AB84" s="491"/>
      <c r="AC84" s="491"/>
      <c r="AD84" s="491"/>
      <c r="AE84" s="491"/>
      <c r="AF84" s="491"/>
    </row>
    <row r="85" spans="1:32" ht="15" customHeight="1">
      <c r="A85" s="57"/>
      <c r="B85" s="57"/>
      <c r="C85" s="57"/>
      <c r="D85" s="73"/>
      <c r="E85" s="73"/>
      <c r="F85" s="73"/>
      <c r="G85" s="73"/>
      <c r="H85" s="73"/>
      <c r="I85" s="73"/>
      <c r="J85" s="73"/>
      <c r="K85" s="73"/>
      <c r="L85" s="73"/>
      <c r="M85" s="73"/>
      <c r="N85" s="73"/>
      <c r="O85" s="73"/>
      <c r="P85" s="73"/>
      <c r="Q85" s="73"/>
      <c r="R85" s="73"/>
      <c r="S85" s="73"/>
      <c r="T85" s="73"/>
      <c r="U85" s="73"/>
      <c r="V85" s="73"/>
    </row>
    <row r="86" spans="1:32" ht="15" customHeight="1">
      <c r="A86" s="57"/>
      <c r="B86" s="57"/>
      <c r="C86" s="57"/>
      <c r="D86" s="73"/>
      <c r="E86" s="73"/>
      <c r="F86" s="73"/>
      <c r="G86" s="73"/>
      <c r="H86" s="73"/>
      <c r="I86" s="73"/>
      <c r="J86" s="73"/>
      <c r="K86" s="73"/>
      <c r="L86" s="73"/>
      <c r="M86" s="73"/>
      <c r="N86" s="73"/>
      <c r="O86" s="73"/>
      <c r="P86" s="73"/>
      <c r="Q86" s="73"/>
      <c r="R86" s="73"/>
      <c r="S86" s="73"/>
      <c r="T86" s="73"/>
      <c r="U86" s="73"/>
      <c r="V86" s="73"/>
    </row>
    <row r="87" spans="1:32" ht="15" customHeight="1">
      <c r="A87" s="57"/>
      <c r="B87" s="57"/>
      <c r="C87" s="57"/>
      <c r="D87" s="73"/>
      <c r="E87" s="73"/>
      <c r="F87" s="73"/>
      <c r="G87" s="73"/>
      <c r="H87" s="73"/>
      <c r="I87" s="73"/>
      <c r="J87" s="73"/>
      <c r="K87" s="73"/>
      <c r="L87" s="73"/>
      <c r="M87" s="73"/>
      <c r="N87" s="73"/>
      <c r="O87" s="73"/>
      <c r="P87" s="73"/>
      <c r="Q87" s="73"/>
      <c r="R87" s="73"/>
      <c r="S87" s="73"/>
      <c r="T87" s="73"/>
      <c r="U87" s="73"/>
      <c r="V87" s="73"/>
    </row>
    <row r="88" spans="1:32" ht="15" customHeight="1">
      <c r="A88" s="57"/>
      <c r="B88" s="57"/>
      <c r="C88" s="57"/>
      <c r="D88" s="73"/>
      <c r="E88" s="73"/>
      <c r="F88" s="73"/>
      <c r="G88" s="73"/>
      <c r="H88" s="73"/>
      <c r="I88" s="73"/>
      <c r="J88" s="73"/>
      <c r="K88" s="73"/>
      <c r="L88" s="73"/>
      <c r="M88" s="73"/>
      <c r="N88" s="73"/>
      <c r="O88" s="73"/>
      <c r="P88" s="73"/>
      <c r="Q88" s="73"/>
      <c r="R88" s="73"/>
      <c r="S88" s="73"/>
      <c r="T88" s="73"/>
      <c r="U88" s="73"/>
      <c r="V88" s="73"/>
    </row>
    <row r="89" spans="1:32" s="85" customFormat="1" ht="18" customHeight="1">
      <c r="A89" s="527" t="s">
        <v>402</v>
      </c>
      <c r="B89" s="527"/>
      <c r="C89" s="527"/>
      <c r="D89" s="527"/>
      <c r="E89" s="527"/>
      <c r="F89" s="527"/>
      <c r="G89" s="527"/>
      <c r="H89" s="527"/>
      <c r="I89" s="527"/>
      <c r="J89" s="527"/>
      <c r="K89" s="87"/>
      <c r="L89" s="87"/>
      <c r="M89" s="381"/>
      <c r="N89" s="381"/>
      <c r="O89" s="381"/>
      <c r="P89" s="381"/>
      <c r="Q89" s="381"/>
      <c r="R89" s="87" t="s">
        <v>642</v>
      </c>
      <c r="S89" s="87"/>
      <c r="T89" s="87"/>
      <c r="U89" s="87"/>
      <c r="V89" s="87"/>
      <c r="W89" s="530"/>
      <c r="X89" s="530"/>
      <c r="Y89" s="530"/>
      <c r="Z89" s="530"/>
      <c r="AA89" s="530"/>
      <c r="AC89" s="140" t="s">
        <v>642</v>
      </c>
    </row>
    <row r="90" spans="1:32" s="13" customFormat="1">
      <c r="B90" s="531" t="s">
        <v>77</v>
      </c>
      <c r="C90" s="531"/>
      <c r="D90" s="531"/>
      <c r="E90" s="531"/>
      <c r="F90" s="531"/>
      <c r="G90" s="531"/>
      <c r="H90" s="57"/>
      <c r="I90" s="57"/>
      <c r="J90" s="59"/>
      <c r="K90" s="59"/>
      <c r="L90" s="59"/>
      <c r="N90" s="24"/>
      <c r="O90" s="24"/>
      <c r="P90" s="24"/>
      <c r="Q90" s="24"/>
      <c r="R90" s="24" t="s">
        <v>78</v>
      </c>
      <c r="V90" s="24"/>
      <c r="AB90" s="423" t="s">
        <v>128</v>
      </c>
      <c r="AC90" s="423"/>
      <c r="AD90" s="423"/>
      <c r="AE90" s="423"/>
      <c r="AF90" s="423"/>
    </row>
    <row r="91" spans="1:32" s="77" customFormat="1" ht="16.5" customHeight="1">
      <c r="C91" s="78"/>
      <c r="D91" s="79"/>
      <c r="E91" s="79"/>
      <c r="F91" s="80"/>
      <c r="G91" s="80"/>
      <c r="H91" s="80"/>
      <c r="I91" s="80"/>
      <c r="J91" s="80"/>
      <c r="K91" s="80"/>
      <c r="L91" s="80"/>
      <c r="M91" s="80"/>
      <c r="O91" s="79"/>
      <c r="P91" s="79"/>
      <c r="Q91" s="79"/>
      <c r="R91" s="79"/>
      <c r="S91" s="79"/>
      <c r="T91" s="79"/>
      <c r="U91" s="79"/>
      <c r="V91" s="79"/>
      <c r="W91" s="79"/>
      <c r="X91" s="79"/>
      <c r="Y91" s="79"/>
      <c r="Z91" s="79"/>
      <c r="AA91" s="79"/>
    </row>
    <row r="92" spans="1:32" s="13" customFormat="1" ht="17.25" customHeight="1">
      <c r="F92" s="12"/>
      <c r="G92" s="12"/>
      <c r="H92" s="12"/>
      <c r="I92" s="12"/>
      <c r="J92" s="12"/>
      <c r="K92" s="12"/>
      <c r="L92" s="12"/>
      <c r="Q92" s="12"/>
      <c r="R92" s="12"/>
      <c r="S92" s="12"/>
      <c r="T92" s="12"/>
      <c r="X92" s="12"/>
      <c r="Y92" s="12"/>
      <c r="Z92" s="12"/>
      <c r="AA92" s="12"/>
    </row>
    <row r="93" spans="1:32" ht="3.75" hidden="1" customHeight="1">
      <c r="C93" s="81"/>
      <c r="D93" s="81"/>
      <c r="E93" s="81"/>
      <c r="F93" s="81"/>
      <c r="G93" s="81"/>
      <c r="H93" s="81"/>
      <c r="I93" s="82"/>
      <c r="J93" s="82"/>
      <c r="K93" s="82"/>
      <c r="L93" s="82"/>
      <c r="M93" s="82"/>
      <c r="N93" s="82"/>
      <c r="O93" s="82"/>
      <c r="P93" s="82"/>
      <c r="Q93" s="82"/>
      <c r="R93" s="82"/>
      <c r="S93" s="82"/>
      <c r="T93" s="82"/>
      <c r="U93" s="81"/>
      <c r="V93" s="81"/>
    </row>
    <row r="94" spans="1:32">
      <c r="C94" s="81"/>
      <c r="D94" s="81"/>
      <c r="E94" s="81"/>
      <c r="F94" s="81"/>
      <c r="G94" s="81"/>
      <c r="H94" s="81"/>
      <c r="I94" s="81"/>
      <c r="J94" s="81"/>
      <c r="K94" s="81"/>
      <c r="L94" s="81"/>
      <c r="M94" s="81"/>
      <c r="N94" s="81"/>
      <c r="O94" s="81"/>
      <c r="P94" s="81"/>
      <c r="Q94" s="81"/>
      <c r="R94" s="81"/>
      <c r="S94" s="81"/>
      <c r="T94" s="81"/>
      <c r="U94" s="81"/>
      <c r="V94" s="81"/>
    </row>
    <row r="95" spans="1:32">
      <c r="C95" s="83"/>
    </row>
    <row r="98" spans="3:3">
      <c r="C98" s="84"/>
    </row>
    <row r="99" spans="3:3">
      <c r="C99" s="84"/>
    </row>
    <row r="100" spans="3:3">
      <c r="C100" s="84"/>
    </row>
    <row r="101" spans="3:3">
      <c r="C101" s="84"/>
    </row>
    <row r="102" spans="3:3">
      <c r="C102" s="84"/>
    </row>
    <row r="103" spans="3:3">
      <c r="C103" s="84"/>
    </row>
    <row r="104" spans="3:3">
      <c r="C104" s="84"/>
    </row>
  </sheetData>
  <mergeCells count="422">
    <mergeCell ref="P77:Q77"/>
    <mergeCell ref="P72:Q72"/>
    <mergeCell ref="D80:E80"/>
    <mergeCell ref="P80:Q80"/>
    <mergeCell ref="R72:S72"/>
    <mergeCell ref="B79:C79"/>
    <mergeCell ref="D79:E79"/>
    <mergeCell ref="F79:G79"/>
    <mergeCell ref="H79:I79"/>
    <mergeCell ref="J79:K79"/>
    <mergeCell ref="L79:M79"/>
    <mergeCell ref="N79:O79"/>
    <mergeCell ref="P79:Q79"/>
    <mergeCell ref="B78:C78"/>
    <mergeCell ref="D78:E78"/>
    <mergeCell ref="F78:G78"/>
    <mergeCell ref="H78:I78"/>
    <mergeCell ref="J78:K78"/>
    <mergeCell ref="L78:M78"/>
    <mergeCell ref="N78:O78"/>
    <mergeCell ref="P78:Q78"/>
    <mergeCell ref="B74:C74"/>
    <mergeCell ref="B75:C75"/>
    <mergeCell ref="B72:C72"/>
    <mergeCell ref="P82:Q82"/>
    <mergeCell ref="B81:C81"/>
    <mergeCell ref="D81:E81"/>
    <mergeCell ref="F81:G81"/>
    <mergeCell ref="H81:I81"/>
    <mergeCell ref="J81:K81"/>
    <mergeCell ref="L81:M81"/>
    <mergeCell ref="N81:O81"/>
    <mergeCell ref="P81:Q81"/>
    <mergeCell ref="N71:O71"/>
    <mergeCell ref="F69:G69"/>
    <mergeCell ref="H69:I69"/>
    <mergeCell ref="J69:K69"/>
    <mergeCell ref="N69:O69"/>
    <mergeCell ref="B82:C82"/>
    <mergeCell ref="D82:E82"/>
    <mergeCell ref="F82:G82"/>
    <mergeCell ref="H82:I82"/>
    <mergeCell ref="J82:K82"/>
    <mergeCell ref="L82:M82"/>
    <mergeCell ref="N82:O82"/>
    <mergeCell ref="B80:C80"/>
    <mergeCell ref="L72:M72"/>
    <mergeCell ref="N72:O72"/>
    <mergeCell ref="B77:C77"/>
    <mergeCell ref="D77:E77"/>
    <mergeCell ref="F77:G77"/>
    <mergeCell ref="H77:I77"/>
    <mergeCell ref="J77:K77"/>
    <mergeCell ref="L77:M77"/>
    <mergeCell ref="J76:K76"/>
    <mergeCell ref="L76:M76"/>
    <mergeCell ref="D70:E70"/>
    <mergeCell ref="F83:G83"/>
    <mergeCell ref="H83:I83"/>
    <mergeCell ref="J83:K83"/>
    <mergeCell ref="F75:G75"/>
    <mergeCell ref="H75:I75"/>
    <mergeCell ref="N73:O73"/>
    <mergeCell ref="J80:K80"/>
    <mergeCell ref="L80:M80"/>
    <mergeCell ref="N80:O80"/>
    <mergeCell ref="L83:M83"/>
    <mergeCell ref="N83:O83"/>
    <mergeCell ref="J74:K74"/>
    <mergeCell ref="L74:M74"/>
    <mergeCell ref="F80:G80"/>
    <mergeCell ref="H80:I80"/>
    <mergeCell ref="N74:O74"/>
    <mergeCell ref="H74:I74"/>
    <mergeCell ref="N77:O77"/>
    <mergeCell ref="F74:G74"/>
    <mergeCell ref="J75:K75"/>
    <mergeCell ref="B57:L57"/>
    <mergeCell ref="L64:U64"/>
    <mergeCell ref="B43:L43"/>
    <mergeCell ref="B44:L44"/>
    <mergeCell ref="B45:L45"/>
    <mergeCell ref="R68:S68"/>
    <mergeCell ref="V69:Z69"/>
    <mergeCell ref="B40:L40"/>
    <mergeCell ref="B48:L48"/>
    <mergeCell ref="B51:L51"/>
    <mergeCell ref="N67:O67"/>
    <mergeCell ref="L67:M67"/>
    <mergeCell ref="B69:C69"/>
    <mergeCell ref="B56:L56"/>
    <mergeCell ref="AD63:AF63"/>
    <mergeCell ref="AA70:AF70"/>
    <mergeCell ref="AA69:AF69"/>
    <mergeCell ref="T69:U69"/>
    <mergeCell ref="T68:U68"/>
    <mergeCell ref="V68:Z68"/>
    <mergeCell ref="N68:O68"/>
    <mergeCell ref="L68:M68"/>
    <mergeCell ref="P70:Q70"/>
    <mergeCell ref="J84:K84"/>
    <mergeCell ref="D21:G21"/>
    <mergeCell ref="F84:G84"/>
    <mergeCell ref="B37:L37"/>
    <mergeCell ref="A84:E84"/>
    <mergeCell ref="H84:I84"/>
    <mergeCell ref="B71:C71"/>
    <mergeCell ref="J64:K66"/>
    <mergeCell ref="F67:G67"/>
    <mergeCell ref="H67:I67"/>
    <mergeCell ref="J67:K67"/>
    <mergeCell ref="F71:G71"/>
    <mergeCell ref="D71:E71"/>
    <mergeCell ref="D67:E67"/>
    <mergeCell ref="B83:C83"/>
    <mergeCell ref="D83:E83"/>
    <mergeCell ref="A58:L58"/>
    <mergeCell ref="D24:G24"/>
    <mergeCell ref="D23:G23"/>
    <mergeCell ref="H23:Q23"/>
    <mergeCell ref="Q31:Q32"/>
    <mergeCell ref="Q30:T30"/>
    <mergeCell ref="T31:T32"/>
    <mergeCell ref="B47:L47"/>
    <mergeCell ref="A3:AF3"/>
    <mergeCell ref="A15:AF15"/>
    <mergeCell ref="A28:AF28"/>
    <mergeCell ref="G7:M7"/>
    <mergeCell ref="G8:M8"/>
    <mergeCell ref="A17:A19"/>
    <mergeCell ref="G5:M6"/>
    <mergeCell ref="H17:Q19"/>
    <mergeCell ref="AD9:AF9"/>
    <mergeCell ref="N10:Q10"/>
    <mergeCell ref="D8:F8"/>
    <mergeCell ref="D7:F7"/>
    <mergeCell ref="D5:F6"/>
    <mergeCell ref="G11:M11"/>
    <mergeCell ref="D11:F11"/>
    <mergeCell ref="D10:F10"/>
    <mergeCell ref="D9:F9"/>
    <mergeCell ref="AD12:AF12"/>
    <mergeCell ref="B11:C11"/>
    <mergeCell ref="AA6:AC6"/>
    <mergeCell ref="X11:Z11"/>
    <mergeCell ref="R12:T12"/>
    <mergeCell ref="U12:W12"/>
    <mergeCell ref="AC23:AD23"/>
    <mergeCell ref="AA74:AF74"/>
    <mergeCell ref="AA68:AF68"/>
    <mergeCell ref="AC25:AD25"/>
    <mergeCell ref="AD29:AF29"/>
    <mergeCell ref="Y22:Z22"/>
    <mergeCell ref="AE24:AF24"/>
    <mergeCell ref="Y23:Z23"/>
    <mergeCell ref="AF31:AF32"/>
    <mergeCell ref="AB31:AB32"/>
    <mergeCell ref="AE31:AE32"/>
    <mergeCell ref="AD31:AD32"/>
    <mergeCell ref="AE23:AF23"/>
    <mergeCell ref="AE22:AF22"/>
    <mergeCell ref="AA23:AB23"/>
    <mergeCell ref="AC22:AD22"/>
    <mergeCell ref="AA64:AF66"/>
    <mergeCell ref="AE25:AF25"/>
    <mergeCell ref="Y25:Z25"/>
    <mergeCell ref="AA22:AB22"/>
    <mergeCell ref="AC24:AD24"/>
    <mergeCell ref="Y30:AB30"/>
    <mergeCell ref="AA25:AB25"/>
    <mergeCell ref="AA24:AB24"/>
    <mergeCell ref="AC31:AC32"/>
    <mergeCell ref="B33:L33"/>
    <mergeCell ref="B70:C70"/>
    <mergeCell ref="N31:N32"/>
    <mergeCell ref="B68:C68"/>
    <mergeCell ref="J68:K68"/>
    <mergeCell ref="P31:P32"/>
    <mergeCell ref="B67:C67"/>
    <mergeCell ref="D69:E69"/>
    <mergeCell ref="D68:E68"/>
    <mergeCell ref="A62:AF62"/>
    <mergeCell ref="AA67:AF67"/>
    <mergeCell ref="L69:M69"/>
    <mergeCell ref="B46:L46"/>
    <mergeCell ref="B49:L49"/>
    <mergeCell ref="B50:L50"/>
    <mergeCell ref="B41:L41"/>
    <mergeCell ref="B42:L42"/>
    <mergeCell ref="F64:G66"/>
    <mergeCell ref="H64:I66"/>
    <mergeCell ref="B64:C66"/>
    <mergeCell ref="L65:M66"/>
    <mergeCell ref="D64:E66"/>
    <mergeCell ref="H68:I68"/>
    <mergeCell ref="P66:Q66"/>
    <mergeCell ref="V75:Z75"/>
    <mergeCell ref="V67:Z67"/>
    <mergeCell ref="T66:U66"/>
    <mergeCell ref="P67:Q67"/>
    <mergeCell ref="B34:L34"/>
    <mergeCell ref="R67:S67"/>
    <mergeCell ref="T67:U67"/>
    <mergeCell ref="P69:Q69"/>
    <mergeCell ref="R69:S69"/>
    <mergeCell ref="L70:M70"/>
    <mergeCell ref="R66:S66"/>
    <mergeCell ref="A59:L59"/>
    <mergeCell ref="F68:G68"/>
    <mergeCell ref="B54:L54"/>
    <mergeCell ref="B38:L38"/>
    <mergeCell ref="B35:L35"/>
    <mergeCell ref="B36:L36"/>
    <mergeCell ref="P68:Q68"/>
    <mergeCell ref="A64:A66"/>
    <mergeCell ref="N65:O66"/>
    <mergeCell ref="B39:L39"/>
    <mergeCell ref="B52:L52"/>
    <mergeCell ref="B53:L53"/>
    <mergeCell ref="B55:L55"/>
    <mergeCell ref="X12:Z12"/>
    <mergeCell ref="AA11:AC11"/>
    <mergeCell ref="N12:Q12"/>
    <mergeCell ref="B17:C19"/>
    <mergeCell ref="Y18:Z19"/>
    <mergeCell ref="W18:X19"/>
    <mergeCell ref="U30:X30"/>
    <mergeCell ref="S31:S32"/>
    <mergeCell ref="B24:C24"/>
    <mergeCell ref="M31:M32"/>
    <mergeCell ref="H22:Q22"/>
    <mergeCell ref="M30:P30"/>
    <mergeCell ref="B30:L32"/>
    <mergeCell ref="O31:O32"/>
    <mergeCell ref="B22:C22"/>
    <mergeCell ref="D22:G22"/>
    <mergeCell ref="H24:Q24"/>
    <mergeCell ref="B23:C23"/>
    <mergeCell ref="R31:R32"/>
    <mergeCell ref="R23:V23"/>
    <mergeCell ref="W23:X23"/>
    <mergeCell ref="R22:V22"/>
    <mergeCell ref="W22:X22"/>
    <mergeCell ref="A5:A6"/>
    <mergeCell ref="B5:C6"/>
    <mergeCell ref="B7:C7"/>
    <mergeCell ref="B8:C8"/>
    <mergeCell ref="R8:T8"/>
    <mergeCell ref="B9:C9"/>
    <mergeCell ref="U7:W7"/>
    <mergeCell ref="U8:W8"/>
    <mergeCell ref="G10:M10"/>
    <mergeCell ref="N8:Q8"/>
    <mergeCell ref="G9:M9"/>
    <mergeCell ref="U9:W9"/>
    <mergeCell ref="R10:T10"/>
    <mergeCell ref="R9:T9"/>
    <mergeCell ref="N5:Q6"/>
    <mergeCell ref="R5:AF5"/>
    <mergeCell ref="AD8:AF8"/>
    <mergeCell ref="R6:T6"/>
    <mergeCell ref="AA9:AC9"/>
    <mergeCell ref="AD6:AF6"/>
    <mergeCell ref="B10:C10"/>
    <mergeCell ref="H21:Q21"/>
    <mergeCell ref="AC20:AD20"/>
    <mergeCell ref="B21:C21"/>
    <mergeCell ref="AD7:AF7"/>
    <mergeCell ref="U6:W6"/>
    <mergeCell ref="X6:Z6"/>
    <mergeCell ref="N7:Q7"/>
    <mergeCell ref="AA7:AC7"/>
    <mergeCell ref="X7:Z7"/>
    <mergeCell ref="AA10:AC10"/>
    <mergeCell ref="AA8:AC8"/>
    <mergeCell ref="X8:Z8"/>
    <mergeCell ref="U10:W10"/>
    <mergeCell ref="N9:Q9"/>
    <mergeCell ref="R7:T7"/>
    <mergeCell ref="X9:Z9"/>
    <mergeCell ref="AD10:AF10"/>
    <mergeCell ref="X10:Z10"/>
    <mergeCell ref="R20:V20"/>
    <mergeCell ref="B20:C20"/>
    <mergeCell ref="D20:G20"/>
    <mergeCell ref="AA12:AC12"/>
    <mergeCell ref="R17:V19"/>
    <mergeCell ref="AA18:AB19"/>
    <mergeCell ref="T75:U75"/>
    <mergeCell ref="T74:U74"/>
    <mergeCell ref="R77:S77"/>
    <mergeCell ref="L71:M71"/>
    <mergeCell ref="R21:V21"/>
    <mergeCell ref="W21:X21"/>
    <mergeCell ref="Y21:Z21"/>
    <mergeCell ref="U11:W11"/>
    <mergeCell ref="A12:M12"/>
    <mergeCell ref="D17:G19"/>
    <mergeCell ref="Y20:Z20"/>
    <mergeCell ref="N11:Q11"/>
    <mergeCell ref="R11:T11"/>
    <mergeCell ref="W17:AF17"/>
    <mergeCell ref="H20:Q20"/>
    <mergeCell ref="AA21:AB21"/>
    <mergeCell ref="AE21:AF21"/>
    <mergeCell ref="AC21:AD21"/>
    <mergeCell ref="AA20:AB20"/>
    <mergeCell ref="W20:X20"/>
    <mergeCell ref="AD11:AF11"/>
    <mergeCell ref="AC18:AD19"/>
    <mergeCell ref="AE20:AF20"/>
    <mergeCell ref="AE18:AF19"/>
    <mergeCell ref="F70:G70"/>
    <mergeCell ref="H70:I70"/>
    <mergeCell ref="J70:K70"/>
    <mergeCell ref="J71:K71"/>
    <mergeCell ref="H71:I71"/>
    <mergeCell ref="D76:E76"/>
    <mergeCell ref="F76:G76"/>
    <mergeCell ref="H76:I76"/>
    <mergeCell ref="D74:E74"/>
    <mergeCell ref="D75:E75"/>
    <mergeCell ref="F72:G72"/>
    <mergeCell ref="H72:I72"/>
    <mergeCell ref="J72:K72"/>
    <mergeCell ref="D72:E72"/>
    <mergeCell ref="W25:X25"/>
    <mergeCell ref="T84:U84"/>
    <mergeCell ref="R76:S76"/>
    <mergeCell ref="T83:U83"/>
    <mergeCell ref="AA84:AF84"/>
    <mergeCell ref="T77:U77"/>
    <mergeCell ref="V77:Z77"/>
    <mergeCell ref="T78:U78"/>
    <mergeCell ref="V78:Z78"/>
    <mergeCell ref="AA78:AF78"/>
    <mergeCell ref="R78:S78"/>
    <mergeCell ref="T82:U82"/>
    <mergeCell ref="V82:Z82"/>
    <mergeCell ref="AA82:AF82"/>
    <mergeCell ref="R81:S81"/>
    <mergeCell ref="T81:U81"/>
    <mergeCell ref="V81:Z81"/>
    <mergeCell ref="AA81:AF81"/>
    <mergeCell ref="R79:S79"/>
    <mergeCell ref="T79:U79"/>
    <mergeCell ref="V79:Z79"/>
    <mergeCell ref="AA79:AF79"/>
    <mergeCell ref="R80:S80"/>
    <mergeCell ref="T80:U80"/>
    <mergeCell ref="V80:Z80"/>
    <mergeCell ref="AA80:AF80"/>
    <mergeCell ref="R82:S82"/>
    <mergeCell ref="N70:O70"/>
    <mergeCell ref="R70:S70"/>
    <mergeCell ref="T76:U76"/>
    <mergeCell ref="V76:Z76"/>
    <mergeCell ref="AA76:AF76"/>
    <mergeCell ref="V74:Z74"/>
    <mergeCell ref="T71:U71"/>
    <mergeCell ref="R73:S73"/>
    <mergeCell ref="T73:U73"/>
    <mergeCell ref="V73:Z73"/>
    <mergeCell ref="N76:O76"/>
    <mergeCell ref="P76:Q76"/>
    <mergeCell ref="V70:Z70"/>
    <mergeCell ref="T72:U72"/>
    <mergeCell ref="V72:Z72"/>
    <mergeCell ref="AA72:AF72"/>
    <mergeCell ref="AA77:AF77"/>
    <mergeCell ref="AA73:AF73"/>
    <mergeCell ref="T70:U70"/>
    <mergeCell ref="P73:Q73"/>
    <mergeCell ref="AA71:AF71"/>
    <mergeCell ref="AD1:AF1"/>
    <mergeCell ref="AD2:AF2"/>
    <mergeCell ref="V84:Z84"/>
    <mergeCell ref="V71:Z71"/>
    <mergeCell ref="V64:Z66"/>
    <mergeCell ref="AC30:AF30"/>
    <mergeCell ref="Z29:AB29"/>
    <mergeCell ref="V31:V32"/>
    <mergeCell ref="Y31:Y32"/>
    <mergeCell ref="Z31:Z32"/>
    <mergeCell ref="W31:W32"/>
    <mergeCell ref="X31:X32"/>
    <mergeCell ref="W24:X24"/>
    <mergeCell ref="AA31:AA32"/>
    <mergeCell ref="R24:V24"/>
    <mergeCell ref="A25:V25"/>
    <mergeCell ref="A30:A32"/>
    <mergeCell ref="U31:U32"/>
    <mergeCell ref="L84:M84"/>
    <mergeCell ref="Y24:Z24"/>
    <mergeCell ref="P65:U65"/>
    <mergeCell ref="AA75:AF75"/>
    <mergeCell ref="P83:Q83"/>
    <mergeCell ref="V83:Z83"/>
    <mergeCell ref="AB90:AF90"/>
    <mergeCell ref="A89:J89"/>
    <mergeCell ref="P71:Q71"/>
    <mergeCell ref="R71:S71"/>
    <mergeCell ref="R74:S74"/>
    <mergeCell ref="L75:M75"/>
    <mergeCell ref="N75:O75"/>
    <mergeCell ref="R75:S75"/>
    <mergeCell ref="P75:Q75"/>
    <mergeCell ref="B73:C73"/>
    <mergeCell ref="D73:E73"/>
    <mergeCell ref="F73:G73"/>
    <mergeCell ref="H73:I73"/>
    <mergeCell ref="J73:K73"/>
    <mergeCell ref="L73:M73"/>
    <mergeCell ref="N84:O84"/>
    <mergeCell ref="P84:Q84"/>
    <mergeCell ref="W89:AA89"/>
    <mergeCell ref="B90:G90"/>
    <mergeCell ref="P74:Q74"/>
    <mergeCell ref="B76:C76"/>
    <mergeCell ref="R84:S84"/>
    <mergeCell ref="R83:S83"/>
    <mergeCell ref="AA83:AF83"/>
  </mergeCells>
  <phoneticPr fontId="3" type="noConversion"/>
  <pageMargins left="0.59055118110236227" right="0.59055118110236227" top="0.78740157480314965" bottom="0.39370078740157483" header="0.31496062992125984" footer="0.31496062992125984"/>
  <pageSetup paperSize="9" scale="34" fitToHeight="2" orientation="landscape" verticalDpi="1200" copies="4"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00B050"/>
  </sheetPr>
  <dimension ref="A1:O57"/>
  <sheetViews>
    <sheetView topLeftCell="A18" workbookViewId="0">
      <selection activeCell="O22" sqref="O22:O26"/>
    </sheetView>
  </sheetViews>
  <sheetFormatPr defaultRowHeight="12.75"/>
  <cols>
    <col min="3" max="3" width="12.28515625" customWidth="1"/>
    <col min="6" max="6" width="15.28515625" customWidth="1"/>
    <col min="10" max="10" width="12.7109375" customWidth="1"/>
    <col min="12" max="12" width="14.28515625" customWidth="1"/>
    <col min="13" max="13" width="11.42578125" customWidth="1"/>
    <col min="15" max="15" width="9.140625" customWidth="1"/>
    <col min="19" max="20" width="9.140625" customWidth="1"/>
  </cols>
  <sheetData>
    <row r="1" spans="1:11" ht="18.75">
      <c r="A1" s="96"/>
      <c r="B1" s="616"/>
      <c r="C1" s="616"/>
      <c r="D1" s="616"/>
      <c r="E1" s="616"/>
      <c r="F1" s="146"/>
      <c r="G1" s="97"/>
      <c r="H1" s="616" t="s">
        <v>428</v>
      </c>
      <c r="I1" s="617"/>
      <c r="J1" s="618"/>
      <c r="K1" s="98"/>
    </row>
    <row r="2" spans="1:11" ht="15.75">
      <c r="A2" s="619"/>
      <c r="B2" s="620"/>
      <c r="C2" s="620"/>
      <c r="D2" s="620"/>
      <c r="E2" s="620"/>
      <c r="F2" s="99"/>
      <c r="G2" s="619" t="s">
        <v>429</v>
      </c>
      <c r="H2" s="620"/>
      <c r="I2" s="620"/>
      <c r="J2" s="620"/>
      <c r="K2" s="620"/>
    </row>
    <row r="3" spans="1:11" ht="15.75">
      <c r="A3" s="619"/>
      <c r="B3" s="620"/>
      <c r="C3" s="620"/>
      <c r="D3" s="620"/>
      <c r="E3" s="620"/>
      <c r="F3" s="99"/>
      <c r="G3" s="619" t="s">
        <v>430</v>
      </c>
      <c r="H3" s="620"/>
      <c r="I3" s="620"/>
      <c r="J3" s="620"/>
      <c r="K3" s="620"/>
    </row>
    <row r="4" spans="1:11" s="95" customFormat="1" ht="15.75">
      <c r="A4" s="621"/>
      <c r="B4" s="622"/>
      <c r="C4" s="622"/>
      <c r="D4" s="622"/>
      <c r="E4" s="622"/>
      <c r="F4" s="145"/>
      <c r="G4" s="621" t="s">
        <v>431</v>
      </c>
      <c r="H4" s="622"/>
      <c r="I4" s="622"/>
      <c r="J4" s="622"/>
      <c r="K4" s="622"/>
    </row>
    <row r="5" spans="1:11" ht="15.75">
      <c r="A5" s="619"/>
      <c r="B5" s="620"/>
      <c r="C5" s="620"/>
      <c r="D5" s="620"/>
      <c r="E5" s="620"/>
      <c r="F5" s="99"/>
      <c r="G5" s="619" t="s">
        <v>432</v>
      </c>
      <c r="H5" s="623"/>
      <c r="I5" s="623"/>
      <c r="J5" s="623"/>
      <c r="K5" s="623"/>
    </row>
    <row r="6" spans="1:11" ht="15.75">
      <c r="A6" s="624"/>
      <c r="B6" s="620"/>
      <c r="C6" s="620"/>
      <c r="D6" s="620"/>
      <c r="E6" s="620"/>
      <c r="F6" s="99"/>
      <c r="G6" s="619" t="s">
        <v>433</v>
      </c>
      <c r="H6" s="623"/>
      <c r="I6" s="623"/>
      <c r="J6" s="623"/>
      <c r="K6" s="623"/>
    </row>
    <row r="7" spans="1:11" ht="15.75">
      <c r="A7" s="625"/>
      <c r="B7" s="626"/>
      <c r="C7" s="626"/>
      <c r="D7" s="626"/>
      <c r="E7" s="626"/>
      <c r="F7" s="143"/>
      <c r="G7" s="625" t="s">
        <v>434</v>
      </c>
      <c r="H7" s="626"/>
      <c r="I7" s="626"/>
      <c r="J7" s="626"/>
      <c r="K7" s="626"/>
    </row>
    <row r="8" spans="1:11" ht="15.75">
      <c r="A8" s="627"/>
      <c r="B8" s="626"/>
      <c r="C8" s="626"/>
      <c r="D8" s="626"/>
      <c r="E8" s="626"/>
      <c r="F8" s="143"/>
      <c r="G8" s="627" t="s">
        <v>435</v>
      </c>
      <c r="H8" s="626"/>
      <c r="I8" s="626"/>
      <c r="J8" s="626"/>
      <c r="K8" s="626"/>
    </row>
    <row r="9" spans="1:11" ht="15.75">
      <c r="A9" s="627"/>
      <c r="B9" s="627"/>
      <c r="C9" s="627"/>
      <c r="D9" s="627"/>
      <c r="E9" s="627"/>
      <c r="F9" s="144"/>
      <c r="G9" s="627" t="s">
        <v>436</v>
      </c>
      <c r="H9" s="627"/>
      <c r="I9" s="627"/>
      <c r="J9" s="627"/>
      <c r="K9" s="627"/>
    </row>
    <row r="10" spans="1:11" ht="15.75">
      <c r="A10" s="628"/>
      <c r="B10" s="626"/>
      <c r="C10" s="626"/>
      <c r="D10" s="626"/>
      <c r="E10" s="626"/>
      <c r="F10" s="143"/>
      <c r="G10" s="628" t="s">
        <v>437</v>
      </c>
      <c r="H10" s="626"/>
      <c r="I10" s="626"/>
      <c r="J10" s="626"/>
      <c r="K10" s="626"/>
    </row>
    <row r="11" spans="1:11" ht="15.75">
      <c r="A11" s="619"/>
      <c r="B11" s="620"/>
      <c r="C11" s="620"/>
      <c r="D11" s="620"/>
      <c r="E11" s="620"/>
      <c r="F11" s="99"/>
      <c r="G11" s="619" t="s">
        <v>438</v>
      </c>
      <c r="H11" s="629"/>
      <c r="I11" s="629"/>
      <c r="J11" s="629"/>
      <c r="K11" s="629"/>
    </row>
    <row r="12" spans="1:11" ht="15.75">
      <c r="A12" s="630"/>
      <c r="B12" s="620"/>
      <c r="C12" s="620"/>
      <c r="D12" s="620"/>
      <c r="E12" s="620"/>
      <c r="F12" s="99"/>
      <c r="G12" s="630" t="s">
        <v>439</v>
      </c>
      <c r="H12" s="620"/>
      <c r="I12" s="620"/>
      <c r="J12" s="620"/>
      <c r="K12" s="620"/>
    </row>
    <row r="13" spans="1:11" ht="15.75">
      <c r="A13" s="100"/>
      <c r="B13" s="99"/>
      <c r="C13" s="99"/>
      <c r="D13" s="99"/>
      <c r="E13" s="99"/>
      <c r="F13" s="99"/>
      <c r="G13" s="100"/>
      <c r="H13" s="99"/>
      <c r="I13" s="99"/>
      <c r="J13" s="99"/>
      <c r="K13" s="99"/>
    </row>
    <row r="14" spans="1:11" ht="15.75">
      <c r="A14" s="100"/>
      <c r="B14" s="99"/>
      <c r="C14" s="99"/>
      <c r="D14" s="99"/>
      <c r="E14" s="99"/>
      <c r="F14" s="99"/>
      <c r="G14" s="100"/>
      <c r="H14" s="99"/>
      <c r="I14" s="99"/>
      <c r="J14" s="99"/>
      <c r="K14" s="99"/>
    </row>
    <row r="15" spans="1:11" ht="18.75">
      <c r="A15" s="101"/>
      <c r="B15" s="631" t="s">
        <v>440</v>
      </c>
      <c r="C15" s="620"/>
      <c r="D15" s="620"/>
      <c r="E15" s="620"/>
      <c r="F15" s="620"/>
      <c r="G15" s="620"/>
      <c r="H15" s="620"/>
      <c r="I15" s="620"/>
      <c r="J15" s="620"/>
      <c r="K15" s="102"/>
    </row>
    <row r="16" spans="1:11" ht="18.75" customHeight="1">
      <c r="A16" s="101"/>
      <c r="B16" s="632" t="s">
        <v>441</v>
      </c>
      <c r="C16" s="632"/>
      <c r="D16" s="632"/>
      <c r="E16" s="632"/>
      <c r="F16" s="632"/>
      <c r="G16" s="632"/>
      <c r="H16" s="632"/>
      <c r="I16" s="632"/>
      <c r="J16" s="632"/>
      <c r="K16" s="102"/>
    </row>
    <row r="17" spans="1:15" ht="18.75" customHeight="1">
      <c r="A17" s="101"/>
      <c r="B17" s="632" t="s">
        <v>436</v>
      </c>
      <c r="C17" s="632"/>
      <c r="D17" s="632"/>
      <c r="E17" s="632"/>
      <c r="F17" s="632"/>
      <c r="G17" s="632"/>
      <c r="H17" s="632"/>
      <c r="I17" s="632"/>
      <c r="J17" s="632"/>
      <c r="K17" s="102"/>
    </row>
    <row r="18" spans="1:15" ht="18.75">
      <c r="A18" s="101"/>
      <c r="B18" s="633" t="s">
        <v>442</v>
      </c>
      <c r="C18" s="634"/>
      <c r="D18" s="634"/>
      <c r="E18" s="634"/>
      <c r="F18" s="634"/>
      <c r="G18" s="634"/>
      <c r="H18" s="634"/>
      <c r="I18" s="634"/>
      <c r="J18" s="634"/>
      <c r="K18" s="102"/>
    </row>
    <row r="19" spans="1:15" ht="22.5" customHeight="1">
      <c r="A19" s="635" t="s">
        <v>52</v>
      </c>
      <c r="B19" s="637" t="s">
        <v>401</v>
      </c>
      <c r="C19" s="638"/>
      <c r="D19" s="635" t="s">
        <v>443</v>
      </c>
      <c r="E19" s="641" t="s">
        <v>444</v>
      </c>
      <c r="F19" s="147"/>
      <c r="G19" s="643" t="s">
        <v>445</v>
      </c>
      <c r="H19" s="644"/>
      <c r="I19" s="645"/>
      <c r="J19" s="635" t="s">
        <v>446</v>
      </c>
      <c r="K19" s="96"/>
    </row>
    <row r="20" spans="1:15" ht="63">
      <c r="A20" s="636"/>
      <c r="B20" s="639"/>
      <c r="C20" s="640"/>
      <c r="D20" s="636"/>
      <c r="E20" s="642"/>
      <c r="F20" s="148"/>
      <c r="G20" s="646" t="s">
        <v>447</v>
      </c>
      <c r="H20" s="647"/>
      <c r="I20" s="103" t="s">
        <v>448</v>
      </c>
      <c r="J20" s="636"/>
      <c r="K20" s="104"/>
      <c r="O20" t="s">
        <v>247</v>
      </c>
    </row>
    <row r="21" spans="1:15" ht="18.75" customHeight="1">
      <c r="A21" s="105">
        <v>1</v>
      </c>
      <c r="B21" s="648" t="s">
        <v>402</v>
      </c>
      <c r="C21" s="649"/>
      <c r="D21" s="106" t="s">
        <v>449</v>
      </c>
      <c r="E21" s="130">
        <v>1</v>
      </c>
      <c r="F21" s="149">
        <v>152579.25</v>
      </c>
      <c r="G21" s="650"/>
      <c r="H21" s="651"/>
      <c r="I21" s="107">
        <v>15210</v>
      </c>
      <c r="J21" s="108">
        <f>I21*E21</f>
        <v>15210</v>
      </c>
      <c r="K21" s="109"/>
      <c r="L21" s="129" t="s">
        <v>295</v>
      </c>
      <c r="M21" s="124">
        <f>E21+E22+E23+E24+E25+E27+E28+E35+E40+E41+E42+E49+E50</f>
        <v>13</v>
      </c>
      <c r="N21" s="124">
        <f>F21+F22+F23+F24+F25+F27+F28+F35+F40+F41+F42+F49+F50</f>
        <v>757742.80999999994</v>
      </c>
      <c r="O21">
        <f>E21+E22+E23+E24+E25+E27+E40+E42+E49+E50</f>
        <v>10</v>
      </c>
    </row>
    <row r="22" spans="1:15" ht="18.75" customHeight="1">
      <c r="A22" s="105">
        <v>2</v>
      </c>
      <c r="B22" s="648" t="s">
        <v>403</v>
      </c>
      <c r="C22" s="649"/>
      <c r="D22" s="110" t="s">
        <v>449</v>
      </c>
      <c r="E22" s="131">
        <v>1</v>
      </c>
      <c r="F22" s="150">
        <v>71058.460000000006</v>
      </c>
      <c r="G22" s="652"/>
      <c r="H22" s="653"/>
      <c r="I22" s="107">
        <f>I21-(I21*5%)</f>
        <v>14449.5</v>
      </c>
      <c r="J22" s="108">
        <f>I22*E22</f>
        <v>14449.5</v>
      </c>
      <c r="K22" s="111"/>
      <c r="L22" s="129" t="s">
        <v>296</v>
      </c>
      <c r="M22" s="125">
        <f>E30+E31+E32+E33+E43+E44+E45+E51</f>
        <v>8</v>
      </c>
      <c r="N22" s="125">
        <f>F30+F31+F32+F33+F43+F44+F45+F51</f>
        <v>64293.59</v>
      </c>
      <c r="O22">
        <f>E30+E32+E51</f>
        <v>3</v>
      </c>
    </row>
    <row r="23" spans="1:15" ht="18.75">
      <c r="A23" s="105">
        <v>3</v>
      </c>
      <c r="B23" s="648" t="s">
        <v>450</v>
      </c>
      <c r="C23" s="649"/>
      <c r="D23" s="110" t="s">
        <v>449</v>
      </c>
      <c r="E23" s="131">
        <v>1</v>
      </c>
      <c r="F23" s="150">
        <v>95053.92</v>
      </c>
      <c r="G23" s="652"/>
      <c r="H23" s="653"/>
      <c r="I23" s="107">
        <f>I21-(I21*5%)</f>
        <v>14449.5</v>
      </c>
      <c r="J23" s="108">
        <f>I23*E23</f>
        <v>14449.5</v>
      </c>
      <c r="K23" s="111"/>
      <c r="L23" s="129" t="s">
        <v>297</v>
      </c>
      <c r="M23" s="126">
        <f>E29+E34+E36+E46+E47+E52+E53</f>
        <v>13</v>
      </c>
      <c r="N23" s="126">
        <f>F29+F34+F36+F46+F47+F52+F53</f>
        <v>248262.50999999998</v>
      </c>
      <c r="O23">
        <f>E29+E34+E46-1+E47+E52+E53-2</f>
        <v>9</v>
      </c>
    </row>
    <row r="24" spans="1:15" ht="37.5" customHeight="1">
      <c r="A24" s="105">
        <v>4</v>
      </c>
      <c r="B24" s="648" t="s">
        <v>451</v>
      </c>
      <c r="C24" s="649"/>
      <c r="D24" s="110" t="s">
        <v>449</v>
      </c>
      <c r="E24" s="131">
        <v>1</v>
      </c>
      <c r="F24" s="150">
        <v>102957.08</v>
      </c>
      <c r="G24" s="652"/>
      <c r="H24" s="653"/>
      <c r="I24" s="107">
        <f>I21-(I21*5%)</f>
        <v>14449.5</v>
      </c>
      <c r="J24" s="108">
        <f>I24*E24</f>
        <v>14449.5</v>
      </c>
      <c r="K24" s="111"/>
      <c r="L24" s="129" t="s">
        <v>298</v>
      </c>
      <c r="M24" s="127"/>
      <c r="N24" s="127"/>
    </row>
    <row r="25" spans="1:15" ht="18.75" customHeight="1">
      <c r="A25" s="105">
        <v>5</v>
      </c>
      <c r="B25" s="648" t="s">
        <v>452</v>
      </c>
      <c r="C25" s="649"/>
      <c r="D25" s="110" t="s">
        <v>449</v>
      </c>
      <c r="E25" s="131">
        <v>1</v>
      </c>
      <c r="F25" s="150">
        <v>60978.76</v>
      </c>
      <c r="G25" s="652"/>
      <c r="H25" s="653"/>
      <c r="I25" s="107">
        <f>I21-(I21*5%)</f>
        <v>14449.5</v>
      </c>
      <c r="J25" s="108">
        <f>I25*E25</f>
        <v>14449.5</v>
      </c>
      <c r="K25" s="111"/>
      <c r="L25" s="129" t="s">
        <v>299</v>
      </c>
      <c r="M25" s="136">
        <f>E37</f>
        <v>1</v>
      </c>
      <c r="N25" s="136">
        <f>F37</f>
        <v>7455.45</v>
      </c>
      <c r="O25">
        <f>E37</f>
        <v>1</v>
      </c>
    </row>
    <row r="26" spans="1:15" ht="18.75" customHeight="1">
      <c r="A26" s="654" t="s">
        <v>453</v>
      </c>
      <c r="B26" s="655"/>
      <c r="C26" s="655"/>
      <c r="D26" s="655"/>
      <c r="E26" s="655"/>
      <c r="F26" s="655"/>
      <c r="G26" s="655"/>
      <c r="H26" s="655"/>
      <c r="I26" s="655"/>
      <c r="J26" s="656"/>
      <c r="K26" s="111"/>
      <c r="L26" s="129" t="s">
        <v>300</v>
      </c>
      <c r="M26" s="128">
        <f>E38</f>
        <v>1</v>
      </c>
      <c r="N26" s="128">
        <f>F38</f>
        <v>10507.11</v>
      </c>
      <c r="O26">
        <f>E38</f>
        <v>1</v>
      </c>
    </row>
    <row r="27" spans="1:15" ht="18.75" customHeight="1">
      <c r="A27" s="105">
        <v>6</v>
      </c>
      <c r="B27" s="648" t="s">
        <v>404</v>
      </c>
      <c r="C27" s="649"/>
      <c r="D27" s="110" t="s">
        <v>454</v>
      </c>
      <c r="E27" s="131">
        <v>1</v>
      </c>
      <c r="F27" s="150">
        <v>65328</v>
      </c>
      <c r="G27" s="652">
        <v>12</v>
      </c>
      <c r="H27" s="653"/>
      <c r="I27" s="107">
        <v>2512</v>
      </c>
      <c r="J27" s="108">
        <f t="shared" ref="J27:J38" si="0">I27*E27</f>
        <v>2512</v>
      </c>
      <c r="K27" s="111"/>
      <c r="M27">
        <f>SUM(M21:M26)</f>
        <v>36</v>
      </c>
      <c r="N27">
        <f>SUM(N21:N26)</f>
        <v>1088261.47</v>
      </c>
      <c r="O27">
        <f>SUM(O21:O26)</f>
        <v>24</v>
      </c>
    </row>
    <row r="28" spans="1:15" ht="18.75" customHeight="1">
      <c r="A28" s="105">
        <v>7</v>
      </c>
      <c r="B28" s="648" t="s">
        <v>405</v>
      </c>
      <c r="C28" s="649"/>
      <c r="D28" s="110" t="s">
        <v>454</v>
      </c>
      <c r="E28" s="131">
        <v>1</v>
      </c>
      <c r="F28" s="150"/>
      <c r="G28" s="652">
        <v>11</v>
      </c>
      <c r="H28" s="653"/>
      <c r="I28" s="107">
        <v>2334</v>
      </c>
      <c r="J28" s="108">
        <f t="shared" si="0"/>
        <v>2334</v>
      </c>
      <c r="K28" s="111"/>
    </row>
    <row r="29" spans="1:15" ht="18.75" customHeight="1">
      <c r="A29" s="105">
        <v>8</v>
      </c>
      <c r="B29" s="648" t="s">
        <v>406</v>
      </c>
      <c r="C29" s="649"/>
      <c r="D29" s="110" t="s">
        <v>455</v>
      </c>
      <c r="E29" s="133">
        <v>1</v>
      </c>
      <c r="F29" s="151">
        <v>45445.82</v>
      </c>
      <c r="G29" s="652"/>
      <c r="H29" s="653"/>
      <c r="I29" s="107">
        <f>I21-(I21*30%)</f>
        <v>10647</v>
      </c>
      <c r="J29" s="108">
        <f t="shared" si="0"/>
        <v>10647</v>
      </c>
      <c r="K29" s="111"/>
    </row>
    <row r="30" spans="1:15" ht="18.75" customHeight="1">
      <c r="A30" s="105">
        <v>9</v>
      </c>
      <c r="B30" s="657" t="s">
        <v>407</v>
      </c>
      <c r="C30" s="658"/>
      <c r="D30" s="112">
        <v>2429</v>
      </c>
      <c r="E30" s="132">
        <v>1</v>
      </c>
      <c r="F30" s="152">
        <v>19946.73</v>
      </c>
      <c r="G30" s="659">
        <v>10</v>
      </c>
      <c r="H30" s="660"/>
      <c r="I30" s="113">
        <v>2157</v>
      </c>
      <c r="J30" s="114">
        <f t="shared" si="0"/>
        <v>2157</v>
      </c>
      <c r="K30" s="111"/>
    </row>
    <row r="31" spans="1:15" ht="18.75" customHeight="1">
      <c r="A31" s="105">
        <v>10</v>
      </c>
      <c r="B31" s="657" t="s">
        <v>408</v>
      </c>
      <c r="C31" s="658"/>
      <c r="D31" s="112" t="s">
        <v>456</v>
      </c>
      <c r="E31" s="132">
        <v>1</v>
      </c>
      <c r="F31" s="152"/>
      <c r="G31" s="659">
        <v>9</v>
      </c>
      <c r="H31" s="660"/>
      <c r="I31" s="113">
        <v>2050</v>
      </c>
      <c r="J31" s="114">
        <f t="shared" si="0"/>
        <v>2050</v>
      </c>
      <c r="K31" s="111"/>
    </row>
    <row r="32" spans="1:15" ht="18.75" customHeight="1">
      <c r="A32" s="105">
        <v>11</v>
      </c>
      <c r="B32" s="657" t="s">
        <v>457</v>
      </c>
      <c r="C32" s="658"/>
      <c r="D32" s="112" t="s">
        <v>458</v>
      </c>
      <c r="E32" s="132">
        <v>1</v>
      </c>
      <c r="F32" s="152">
        <v>13712.86</v>
      </c>
      <c r="G32" s="659">
        <v>10</v>
      </c>
      <c r="H32" s="660"/>
      <c r="I32" s="113">
        <v>2157</v>
      </c>
      <c r="J32" s="114">
        <f t="shared" si="0"/>
        <v>2157</v>
      </c>
      <c r="K32" s="111"/>
    </row>
    <row r="33" spans="1:11" ht="18.75" customHeight="1">
      <c r="A33" s="105">
        <v>12</v>
      </c>
      <c r="B33" s="657" t="s">
        <v>409</v>
      </c>
      <c r="C33" s="658"/>
      <c r="D33" s="112" t="s">
        <v>459</v>
      </c>
      <c r="E33" s="132">
        <v>1</v>
      </c>
      <c r="F33" s="152"/>
      <c r="G33" s="659">
        <v>10</v>
      </c>
      <c r="H33" s="660"/>
      <c r="I33" s="113">
        <v>2157</v>
      </c>
      <c r="J33" s="114">
        <f t="shared" si="0"/>
        <v>2157</v>
      </c>
      <c r="K33" s="111"/>
    </row>
    <row r="34" spans="1:11" ht="18.75" customHeight="1">
      <c r="A34" s="105">
        <v>13</v>
      </c>
      <c r="B34" s="657" t="s">
        <v>410</v>
      </c>
      <c r="C34" s="658"/>
      <c r="D34" s="112">
        <v>3212</v>
      </c>
      <c r="E34" s="133">
        <v>3</v>
      </c>
      <c r="F34" s="151">
        <v>42907.14</v>
      </c>
      <c r="G34" s="659">
        <v>9</v>
      </c>
      <c r="H34" s="661"/>
      <c r="I34" s="113">
        <v>2050</v>
      </c>
      <c r="J34" s="114">
        <f t="shared" si="0"/>
        <v>6150</v>
      </c>
      <c r="K34" s="111"/>
    </row>
    <row r="35" spans="1:11" ht="18.75" customHeight="1">
      <c r="A35" s="105">
        <v>14</v>
      </c>
      <c r="B35" s="648" t="s">
        <v>420</v>
      </c>
      <c r="C35" s="649"/>
      <c r="D35" s="110">
        <v>1239</v>
      </c>
      <c r="E35" s="131">
        <v>1</v>
      </c>
      <c r="F35" s="150">
        <v>19650.52</v>
      </c>
      <c r="G35" s="652">
        <v>8</v>
      </c>
      <c r="H35" s="653"/>
      <c r="I35" s="107">
        <v>1943</v>
      </c>
      <c r="J35" s="108">
        <f t="shared" si="0"/>
        <v>1943</v>
      </c>
      <c r="K35" s="111"/>
    </row>
    <row r="36" spans="1:11" ht="18.75" customHeight="1">
      <c r="A36" s="105">
        <v>15</v>
      </c>
      <c r="B36" s="657" t="s">
        <v>411</v>
      </c>
      <c r="C36" s="658"/>
      <c r="D36" s="112">
        <v>3451</v>
      </c>
      <c r="E36" s="133">
        <v>1</v>
      </c>
      <c r="F36" s="151"/>
      <c r="G36" s="659">
        <v>5</v>
      </c>
      <c r="H36" s="660"/>
      <c r="I36" s="113">
        <v>1612</v>
      </c>
      <c r="J36" s="114">
        <f t="shared" si="0"/>
        <v>1612</v>
      </c>
      <c r="K36" s="111"/>
    </row>
    <row r="37" spans="1:11" ht="18.75" customHeight="1">
      <c r="A37" s="105">
        <v>16</v>
      </c>
      <c r="B37" s="648" t="s">
        <v>421</v>
      </c>
      <c r="C37" s="649"/>
      <c r="D37" s="110">
        <v>7129</v>
      </c>
      <c r="E37" s="135">
        <v>1</v>
      </c>
      <c r="F37" s="153">
        <v>7455.45</v>
      </c>
      <c r="G37" s="652">
        <v>5</v>
      </c>
      <c r="H37" s="653"/>
      <c r="I37" s="107">
        <v>1612</v>
      </c>
      <c r="J37" s="108">
        <f t="shared" si="0"/>
        <v>1612</v>
      </c>
      <c r="K37" s="111"/>
    </row>
    <row r="38" spans="1:11" ht="18.75" customHeight="1">
      <c r="A38" s="105">
        <v>17</v>
      </c>
      <c r="B38" s="648" t="s">
        <v>422</v>
      </c>
      <c r="C38" s="649"/>
      <c r="D38" s="110">
        <v>9132</v>
      </c>
      <c r="E38" s="134">
        <v>1</v>
      </c>
      <c r="F38" s="154">
        <v>10507.11</v>
      </c>
      <c r="G38" s="652">
        <v>2</v>
      </c>
      <c r="H38" s="653"/>
      <c r="I38" s="107">
        <v>1521</v>
      </c>
      <c r="J38" s="108">
        <f t="shared" si="0"/>
        <v>1521</v>
      </c>
      <c r="K38" s="111"/>
    </row>
    <row r="39" spans="1:11" ht="18.75" customHeight="1">
      <c r="A39" s="654" t="s">
        <v>460</v>
      </c>
      <c r="B39" s="655"/>
      <c r="C39" s="655"/>
      <c r="D39" s="655"/>
      <c r="E39" s="655"/>
      <c r="F39" s="655"/>
      <c r="G39" s="655"/>
      <c r="H39" s="655"/>
      <c r="I39" s="655"/>
      <c r="J39" s="656"/>
      <c r="K39" s="111"/>
    </row>
    <row r="40" spans="1:11" ht="18.75" customHeight="1">
      <c r="A40" s="105">
        <v>18</v>
      </c>
      <c r="B40" s="648" t="s">
        <v>412</v>
      </c>
      <c r="C40" s="649"/>
      <c r="D40" s="110" t="s">
        <v>454</v>
      </c>
      <c r="E40" s="131">
        <v>1</v>
      </c>
      <c r="F40" s="150">
        <v>11434.49</v>
      </c>
      <c r="G40" s="652">
        <v>12</v>
      </c>
      <c r="H40" s="653"/>
      <c r="I40" s="107">
        <v>2512</v>
      </c>
      <c r="J40" s="108">
        <f t="shared" ref="J40:J47" si="1">I40*E40</f>
        <v>2512</v>
      </c>
      <c r="K40" s="111"/>
    </row>
    <row r="41" spans="1:11" ht="18.75" customHeight="1">
      <c r="A41" s="105">
        <v>19</v>
      </c>
      <c r="B41" s="648" t="s">
        <v>413</v>
      </c>
      <c r="C41" s="649"/>
      <c r="D41" s="110" t="s">
        <v>454</v>
      </c>
      <c r="E41" s="131">
        <v>1</v>
      </c>
      <c r="F41" s="150"/>
      <c r="G41" s="652">
        <v>11</v>
      </c>
      <c r="H41" s="653"/>
      <c r="I41" s="107">
        <v>2334</v>
      </c>
      <c r="J41" s="108">
        <f t="shared" si="1"/>
        <v>2334</v>
      </c>
      <c r="K41" s="111"/>
    </row>
    <row r="42" spans="1:11" ht="18.75" customHeight="1">
      <c r="A42" s="105">
        <v>20</v>
      </c>
      <c r="B42" s="657" t="s">
        <v>414</v>
      </c>
      <c r="C42" s="658"/>
      <c r="D42" s="112" t="s">
        <v>461</v>
      </c>
      <c r="E42" s="131">
        <v>1</v>
      </c>
      <c r="F42" s="150">
        <v>5472.89</v>
      </c>
      <c r="G42" s="659">
        <v>10</v>
      </c>
      <c r="H42" s="660"/>
      <c r="I42" s="113">
        <v>2157</v>
      </c>
      <c r="J42" s="114">
        <f t="shared" si="1"/>
        <v>2157</v>
      </c>
      <c r="K42" s="111"/>
    </row>
    <row r="43" spans="1:11" ht="18.75" customHeight="1">
      <c r="A43" s="105">
        <v>21</v>
      </c>
      <c r="B43" s="657" t="s">
        <v>415</v>
      </c>
      <c r="C43" s="658"/>
      <c r="D43" s="112" t="s">
        <v>462</v>
      </c>
      <c r="E43" s="132">
        <v>1</v>
      </c>
      <c r="F43" s="152"/>
      <c r="G43" s="659">
        <v>10</v>
      </c>
      <c r="H43" s="660"/>
      <c r="I43" s="113">
        <v>2157</v>
      </c>
      <c r="J43" s="114">
        <f t="shared" si="1"/>
        <v>2157</v>
      </c>
      <c r="K43" s="111"/>
    </row>
    <row r="44" spans="1:11" ht="18.75" customHeight="1">
      <c r="A44" s="105">
        <v>22</v>
      </c>
      <c r="B44" s="657" t="s">
        <v>416</v>
      </c>
      <c r="C44" s="658"/>
      <c r="D44" s="112" t="s">
        <v>462</v>
      </c>
      <c r="E44" s="132">
        <v>1</v>
      </c>
      <c r="F44" s="152"/>
      <c r="G44" s="659">
        <v>10</v>
      </c>
      <c r="H44" s="660"/>
      <c r="I44" s="113">
        <v>2157</v>
      </c>
      <c r="J44" s="114">
        <f t="shared" si="1"/>
        <v>2157</v>
      </c>
      <c r="K44" s="111"/>
    </row>
    <row r="45" spans="1:11" ht="18.75" customHeight="1">
      <c r="A45" s="105">
        <v>23</v>
      </c>
      <c r="B45" s="657" t="s">
        <v>417</v>
      </c>
      <c r="C45" s="658"/>
      <c r="D45" s="112" t="s">
        <v>456</v>
      </c>
      <c r="E45" s="132">
        <v>1</v>
      </c>
      <c r="F45" s="152"/>
      <c r="G45" s="659">
        <v>9</v>
      </c>
      <c r="H45" s="660"/>
      <c r="I45" s="113">
        <v>2050</v>
      </c>
      <c r="J45" s="114">
        <f t="shared" si="1"/>
        <v>2050</v>
      </c>
      <c r="K45" s="111"/>
    </row>
    <row r="46" spans="1:11" ht="18.75" customHeight="1">
      <c r="A46" s="105">
        <v>24</v>
      </c>
      <c r="B46" s="648" t="s">
        <v>418</v>
      </c>
      <c r="C46" s="649"/>
      <c r="D46" s="110">
        <v>3439</v>
      </c>
      <c r="E46" s="133">
        <v>2</v>
      </c>
      <c r="F46" s="151">
        <v>28060.03</v>
      </c>
      <c r="G46" s="652">
        <v>10</v>
      </c>
      <c r="H46" s="653"/>
      <c r="I46" s="107">
        <v>2157</v>
      </c>
      <c r="J46" s="108">
        <f t="shared" si="1"/>
        <v>4314</v>
      </c>
      <c r="K46" s="111"/>
    </row>
    <row r="47" spans="1:11" ht="18.75" customHeight="1">
      <c r="A47" s="105">
        <v>25</v>
      </c>
      <c r="B47" s="648" t="s">
        <v>419</v>
      </c>
      <c r="C47" s="649"/>
      <c r="D47" s="110">
        <v>3439</v>
      </c>
      <c r="E47" s="133">
        <v>2</v>
      </c>
      <c r="F47" s="151">
        <v>67487.039999999994</v>
      </c>
      <c r="G47" s="652">
        <v>9</v>
      </c>
      <c r="H47" s="653"/>
      <c r="I47" s="107">
        <v>2050</v>
      </c>
      <c r="J47" s="108">
        <f t="shared" si="1"/>
        <v>4100</v>
      </c>
      <c r="K47" s="111"/>
    </row>
    <row r="48" spans="1:11" ht="18.75" customHeight="1">
      <c r="A48" s="654" t="s">
        <v>463</v>
      </c>
      <c r="B48" s="655"/>
      <c r="C48" s="655"/>
      <c r="D48" s="655"/>
      <c r="E48" s="655"/>
      <c r="F48" s="655"/>
      <c r="G48" s="655"/>
      <c r="H48" s="655"/>
      <c r="I48" s="655"/>
      <c r="J48" s="656"/>
      <c r="K48" s="111"/>
    </row>
    <row r="49" spans="1:15" ht="18.75" customHeight="1">
      <c r="A49" s="105">
        <v>26</v>
      </c>
      <c r="B49" s="648" t="s">
        <v>423</v>
      </c>
      <c r="C49" s="649"/>
      <c r="D49" s="110" t="s">
        <v>454</v>
      </c>
      <c r="E49" s="131">
        <v>1</v>
      </c>
      <c r="F49" s="150">
        <v>116716.46</v>
      </c>
      <c r="G49" s="652"/>
      <c r="H49" s="653"/>
      <c r="I49" s="107">
        <f>I21-(I21*10%)</f>
        <v>13689</v>
      </c>
      <c r="J49" s="108">
        <f>I49*E49</f>
        <v>13689</v>
      </c>
      <c r="K49" s="111"/>
    </row>
    <row r="50" spans="1:15" ht="18.75" customHeight="1">
      <c r="A50" s="105">
        <v>27</v>
      </c>
      <c r="B50" s="648" t="s">
        <v>424</v>
      </c>
      <c r="C50" s="649"/>
      <c r="D50" s="110" t="s">
        <v>454</v>
      </c>
      <c r="E50" s="131">
        <v>1</v>
      </c>
      <c r="F50" s="150">
        <v>56512.98</v>
      </c>
      <c r="G50" s="652">
        <v>11</v>
      </c>
      <c r="H50" s="653"/>
      <c r="I50" s="107">
        <v>2334</v>
      </c>
      <c r="J50" s="108">
        <f>I50*E50</f>
        <v>2334</v>
      </c>
      <c r="K50" s="111"/>
    </row>
    <row r="51" spans="1:15" ht="18.75">
      <c r="A51" s="105">
        <v>28</v>
      </c>
      <c r="B51" s="657" t="s">
        <v>425</v>
      </c>
      <c r="C51" s="658"/>
      <c r="D51" s="112" t="s">
        <v>464</v>
      </c>
      <c r="E51" s="132">
        <v>1</v>
      </c>
      <c r="F51" s="152">
        <v>30634</v>
      </c>
      <c r="G51" s="659">
        <v>9</v>
      </c>
      <c r="H51" s="660"/>
      <c r="I51" s="113">
        <v>2050</v>
      </c>
      <c r="J51" s="114">
        <f>I51*E51</f>
        <v>2050</v>
      </c>
      <c r="K51" s="111"/>
    </row>
    <row r="52" spans="1:15" ht="18.75">
      <c r="A52" s="105">
        <v>29</v>
      </c>
      <c r="B52" s="657" t="s">
        <v>426</v>
      </c>
      <c r="C52" s="658"/>
      <c r="D52" s="112">
        <v>3423</v>
      </c>
      <c r="E52" s="133">
        <v>1</v>
      </c>
      <c r="F52" s="151">
        <v>30634</v>
      </c>
      <c r="G52" s="659">
        <v>6</v>
      </c>
      <c r="H52" s="660"/>
      <c r="I52" s="113">
        <v>1718</v>
      </c>
      <c r="J52" s="114">
        <f>I52*E52</f>
        <v>1718</v>
      </c>
      <c r="K52" s="111"/>
    </row>
    <row r="53" spans="1:15" ht="19.5" thickBot="1">
      <c r="A53" s="105">
        <v>30</v>
      </c>
      <c r="B53" s="648" t="s">
        <v>427</v>
      </c>
      <c r="C53" s="649"/>
      <c r="D53" s="110">
        <v>3433</v>
      </c>
      <c r="E53" s="133">
        <v>3</v>
      </c>
      <c r="F53" s="151">
        <v>33728.480000000003</v>
      </c>
      <c r="G53" s="652">
        <v>10</v>
      </c>
      <c r="H53" s="653"/>
      <c r="I53" s="107">
        <v>2157</v>
      </c>
      <c r="J53" s="108">
        <f>I53*E53</f>
        <v>6471</v>
      </c>
      <c r="K53" s="111"/>
    </row>
    <row r="54" spans="1:15" ht="19.5" thickBot="1">
      <c r="A54" s="115"/>
      <c r="B54" s="662" t="s">
        <v>465</v>
      </c>
      <c r="C54" s="663"/>
      <c r="D54" s="116"/>
      <c r="E54" s="117">
        <f>SUM(E21:E53)</f>
        <v>36</v>
      </c>
      <c r="F54" s="155">
        <f>SUM(F21:F25,F27:F38,F40:F47,F49:F53)</f>
        <v>1088261.4699999997</v>
      </c>
      <c r="G54" s="664"/>
      <c r="H54" s="664"/>
      <c r="I54" s="118"/>
      <c r="J54" s="119">
        <f>SUM(J21:J53)</f>
        <v>157903</v>
      </c>
      <c r="K54" s="120"/>
      <c r="O54" s="121"/>
    </row>
    <row r="56" spans="1:15" ht="18.75">
      <c r="C56" s="122" t="s">
        <v>466</v>
      </c>
      <c r="D56" s="122"/>
      <c r="E56" s="122"/>
      <c r="F56" s="122"/>
      <c r="G56" s="122"/>
      <c r="H56" s="122"/>
      <c r="I56" s="122"/>
    </row>
    <row r="57" spans="1:15" ht="18.75">
      <c r="C57" s="123" t="s">
        <v>467</v>
      </c>
      <c r="D57" s="123"/>
      <c r="E57" s="123"/>
      <c r="F57" s="123"/>
      <c r="G57" s="122" t="s">
        <v>468</v>
      </c>
      <c r="H57" s="122"/>
      <c r="I57" s="122"/>
    </row>
  </sheetData>
  <mergeCells count="100">
    <mergeCell ref="B54:C54"/>
    <mergeCell ref="G54:H54"/>
    <mergeCell ref="B51:C51"/>
    <mergeCell ref="G51:H51"/>
    <mergeCell ref="B52:C52"/>
    <mergeCell ref="G52:H52"/>
    <mergeCell ref="B53:C53"/>
    <mergeCell ref="G53:H53"/>
    <mergeCell ref="A48:J48"/>
    <mergeCell ref="B49:C49"/>
    <mergeCell ref="G49:H49"/>
    <mergeCell ref="B50:C50"/>
    <mergeCell ref="G50:H50"/>
    <mergeCell ref="B45:C45"/>
    <mergeCell ref="G45:H45"/>
    <mergeCell ref="B46:C46"/>
    <mergeCell ref="G46:H46"/>
    <mergeCell ref="B47:C47"/>
    <mergeCell ref="G47:H47"/>
    <mergeCell ref="B42:C42"/>
    <mergeCell ref="G42:H42"/>
    <mergeCell ref="B43:C43"/>
    <mergeCell ref="G43:H43"/>
    <mergeCell ref="B44:C44"/>
    <mergeCell ref="G44:H44"/>
    <mergeCell ref="A39:J39"/>
    <mergeCell ref="B40:C40"/>
    <mergeCell ref="G40:H40"/>
    <mergeCell ref="B41:C41"/>
    <mergeCell ref="G41:H41"/>
    <mergeCell ref="B36:C36"/>
    <mergeCell ref="G36:H36"/>
    <mergeCell ref="B37:C37"/>
    <mergeCell ref="G37:H37"/>
    <mergeCell ref="B38:C38"/>
    <mergeCell ref="G38:H38"/>
    <mergeCell ref="B33:C33"/>
    <mergeCell ref="G33:H33"/>
    <mergeCell ref="B34:C34"/>
    <mergeCell ref="G34:H34"/>
    <mergeCell ref="B35:C35"/>
    <mergeCell ref="G35:H35"/>
    <mergeCell ref="B30:C30"/>
    <mergeCell ref="G30:H30"/>
    <mergeCell ref="B31:C31"/>
    <mergeCell ref="G31:H31"/>
    <mergeCell ref="B32:C32"/>
    <mergeCell ref="G32:H32"/>
    <mergeCell ref="B27:C27"/>
    <mergeCell ref="G27:H27"/>
    <mergeCell ref="B28:C28"/>
    <mergeCell ref="G28:H28"/>
    <mergeCell ref="B29:C29"/>
    <mergeCell ref="G29:H29"/>
    <mergeCell ref="B24:C24"/>
    <mergeCell ref="G24:H24"/>
    <mergeCell ref="B25:C25"/>
    <mergeCell ref="G25:H25"/>
    <mergeCell ref="A26:J26"/>
    <mergeCell ref="B21:C21"/>
    <mergeCell ref="G21:H21"/>
    <mergeCell ref="B22:C22"/>
    <mergeCell ref="G22:H22"/>
    <mergeCell ref="B23:C23"/>
    <mergeCell ref="G23:H23"/>
    <mergeCell ref="B15:J15"/>
    <mergeCell ref="B16:J16"/>
    <mergeCell ref="B17:J17"/>
    <mergeCell ref="B18:J18"/>
    <mergeCell ref="A19:A20"/>
    <mergeCell ref="B19:C20"/>
    <mergeCell ref="D19:D20"/>
    <mergeCell ref="E19:E20"/>
    <mergeCell ref="G19:I19"/>
    <mergeCell ref="J19:J20"/>
    <mergeCell ref="G20:H20"/>
    <mergeCell ref="A10:E10"/>
    <mergeCell ref="G10:K10"/>
    <mergeCell ref="A11:E11"/>
    <mergeCell ref="G11:K11"/>
    <mergeCell ref="A12:E12"/>
    <mergeCell ref="G12:K12"/>
    <mergeCell ref="A7:E7"/>
    <mergeCell ref="G7:K7"/>
    <mergeCell ref="A8:E8"/>
    <mergeCell ref="G8:K8"/>
    <mergeCell ref="A9:E9"/>
    <mergeCell ref="G9:K9"/>
    <mergeCell ref="A4:E4"/>
    <mergeCell ref="G4:K4"/>
    <mergeCell ref="A5:E5"/>
    <mergeCell ref="G5:K5"/>
    <mergeCell ref="A6:E6"/>
    <mergeCell ref="G6:K6"/>
    <mergeCell ref="B1:E1"/>
    <mergeCell ref="H1:J1"/>
    <mergeCell ref="A2:E2"/>
    <mergeCell ref="G2:K2"/>
    <mergeCell ref="A3:E3"/>
    <mergeCell ref="G3:K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13</vt:i4>
      </vt:variant>
    </vt:vector>
  </HeadingPairs>
  <TitlesOfParts>
    <vt:vector size="23" baseType="lpstr">
      <vt:lpstr>фінплан - зведені показники</vt:lpstr>
      <vt:lpstr>1. Фін результат</vt:lpstr>
      <vt:lpstr>2. Розрахунки з бюджетом</vt:lpstr>
      <vt:lpstr>3. Рух грошових коштів</vt:lpstr>
      <vt:lpstr>4. Кап. інвестиції</vt:lpstr>
      <vt:lpstr> 5. Коефіцієнти</vt:lpstr>
      <vt:lpstr>6.1. Інша інфо_1</vt:lpstr>
      <vt:lpstr>6.2. Інша інфо_2</vt:lpstr>
      <vt:lpstr>Штатний розпис з вересня 2016</vt:lpstr>
      <vt:lpstr>Лист1</vt:lpstr>
      <vt:lpstr>' 5. Коефіцієнти'!Заголовки_для_печати</vt:lpstr>
      <vt:lpstr>'1. Фін результат'!Заголовки_для_печати</vt:lpstr>
      <vt:lpstr>'2. Розрахунки з бюджетом'!Заголовки_для_печати</vt:lpstr>
      <vt:lpstr>'3. Рух грошових коштів'!Заголовки_для_печати</vt:lpstr>
      <vt:lpstr>'фінплан - зведені показники'!Заголовки_для_печати</vt:lpstr>
      <vt:lpstr>' 5. Коефіцієнти'!Область_печати</vt:lpstr>
      <vt:lpstr>'1. Фін результат'!Область_печати</vt:lpstr>
      <vt:lpstr>'2. Розрахунки з бюджетом'!Область_печати</vt:lpstr>
      <vt:lpstr>'3. Рух грошових коштів'!Область_печати</vt:lpstr>
      <vt:lpstr>'4. Кап. інвестиції'!Область_печати</vt:lpstr>
      <vt:lpstr>'6.1. Інша інфо_1'!Область_печати</vt:lpstr>
      <vt:lpstr>'6.2. Інша інфо_2'!Область_печати</vt:lpstr>
      <vt:lpstr>'фінплан - зведені показники'!Область_печати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2021-10-22T12:42:16Z</cp:lastPrinted>
  <dcterms:created xsi:type="dcterms:W3CDTF">2003-03-13T16:00:22Z</dcterms:created>
  <dcterms:modified xsi:type="dcterms:W3CDTF">2021-10-22T13:02:52Z</dcterms:modified>
</cp:coreProperties>
</file>