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8_{AED74BA1-C136-43F2-906B-7B9FFB337B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1" l="1"/>
  <c r="D66" i="1"/>
  <c r="D79" i="1"/>
  <c r="D281" i="1"/>
  <c r="D309" i="1"/>
  <c r="D358" i="1"/>
  <c r="D217" i="1"/>
  <c r="D50" i="1"/>
  <c r="D44" i="1"/>
  <c r="D87" i="1" l="1"/>
  <c r="D18" i="1"/>
  <c r="D6" i="1"/>
  <c r="D5" i="1"/>
  <c r="D4" i="1"/>
  <c r="D3" i="1"/>
  <c r="D328" i="1"/>
  <c r="D337" i="1"/>
  <c r="D256" i="1"/>
  <c r="D314" i="1"/>
  <c r="D349" i="1"/>
  <c r="D25" i="1"/>
  <c r="D2" i="1"/>
  <c r="D14" i="1" l="1"/>
  <c r="D286" i="1"/>
  <c r="D23" i="1"/>
  <c r="D352" i="1"/>
  <c r="D20" i="1"/>
  <c r="D15" i="1"/>
  <c r="D204" i="1" l="1"/>
  <c r="D307" i="1"/>
  <c r="D290" i="1"/>
  <c r="D213" i="1"/>
  <c r="D234" i="1"/>
  <c r="D45" i="1"/>
  <c r="D46" i="1"/>
  <c r="D331" i="1"/>
  <c r="D316" i="1"/>
  <c r="D116" i="1"/>
  <c r="D187" i="1"/>
  <c r="D332" i="1"/>
  <c r="D327" i="1"/>
  <c r="D326" i="1"/>
  <c r="D98" i="1"/>
  <c r="D318" i="1"/>
  <c r="D105" i="1"/>
  <c r="D106" i="1"/>
  <c r="D282" i="1"/>
  <c r="D279" i="1"/>
  <c r="D278" i="1"/>
  <c r="D273" i="1"/>
  <c r="D266" i="1"/>
  <c r="D262" i="1"/>
  <c r="D261" i="1"/>
  <c r="D319" i="1"/>
  <c r="D315" i="1"/>
  <c r="D313" i="1"/>
  <c r="D182" i="1"/>
  <c r="D292" i="1"/>
  <c r="D289" i="1"/>
  <c r="D109" i="1"/>
  <c r="D257" i="1"/>
  <c r="D61" i="1"/>
  <c r="D62" i="1"/>
  <c r="D33" i="1"/>
  <c r="D298" i="1"/>
  <c r="D60" i="1"/>
  <c r="D72" i="1"/>
  <c r="D275" i="1"/>
  <c r="D59" i="1"/>
  <c r="D306" i="1"/>
  <c r="D63" i="1"/>
  <c r="D77" i="1"/>
  <c r="D284" i="1"/>
  <c r="D276" i="1"/>
  <c r="D274" i="1"/>
  <c r="D267" i="1"/>
  <c r="D265" i="1"/>
  <c r="D65" i="1"/>
  <c r="D82" i="1"/>
  <c r="D78" i="1"/>
  <c r="D255" i="1"/>
  <c r="D254" i="1"/>
  <c r="D135" i="1"/>
  <c r="D137" i="1"/>
  <c r="D329" i="1"/>
  <c r="D325" i="1"/>
  <c r="D127" i="1"/>
  <c r="D288" i="1"/>
  <c r="D287" i="1"/>
  <c r="D140" i="1"/>
  <c r="D272" i="1"/>
  <c r="D271" i="1"/>
  <c r="D264" i="1"/>
  <c r="D73" i="1"/>
  <c r="D260" i="1"/>
  <c r="D317" i="1"/>
  <c r="D302" i="1"/>
  <c r="D301" i="1"/>
  <c r="D108" i="1"/>
  <c r="D296" i="1"/>
  <c r="D293" i="1"/>
  <c r="D280" i="1"/>
  <c r="D277" i="1"/>
  <c r="D269" i="1"/>
  <c r="D268" i="1"/>
  <c r="D263" i="1"/>
  <c r="D119" i="1"/>
  <c r="D330" i="1"/>
  <c r="D322" i="1"/>
  <c r="D321" i="1"/>
  <c r="D320" i="1"/>
  <c r="D312" i="1"/>
  <c r="D311" i="1"/>
  <c r="D310" i="1"/>
  <c r="D308" i="1"/>
  <c r="D31" i="1"/>
  <c r="D305" i="1"/>
  <c r="D300" i="1"/>
  <c r="D299" i="1"/>
  <c r="D34" i="1"/>
  <c r="D297" i="1"/>
  <c r="D295" i="1"/>
  <c r="D294" i="1"/>
  <c r="D19" i="1"/>
  <c r="D29" i="1"/>
  <c r="D285" i="1"/>
  <c r="D283" i="1"/>
  <c r="D270" i="1"/>
  <c r="D37" i="1"/>
  <c r="D24" i="1"/>
  <c r="D258" i="1"/>
  <c r="D253" i="1"/>
  <c r="D324" i="1"/>
  <c r="D323" i="1"/>
  <c r="D304" i="1"/>
  <c r="D11" i="1"/>
  <c r="D303" i="1"/>
  <c r="D291" i="1"/>
  <c r="D259" i="1"/>
  <c r="D188" i="1"/>
  <c r="D191" i="1"/>
  <c r="D176" i="1"/>
  <c r="D164" i="1"/>
  <c r="D222" i="1"/>
  <c r="D201" i="1"/>
  <c r="D200" i="1"/>
  <c r="D199" i="1"/>
  <c r="D198" i="1"/>
  <c r="D239" i="1"/>
  <c r="D237" i="1"/>
  <c r="D236" i="1"/>
  <c r="D209" i="1"/>
  <c r="D208" i="1"/>
  <c r="D207" i="1"/>
  <c r="D196" i="1"/>
  <c r="D195" i="1"/>
  <c r="D194" i="1"/>
  <c r="D193" i="1"/>
  <c r="D192" i="1"/>
  <c r="D251" i="1"/>
  <c r="D235" i="1"/>
  <c r="D197" i="1"/>
  <c r="D252" i="1"/>
  <c r="D232" i="1"/>
  <c r="D233" i="1"/>
  <c r="D230" i="1"/>
  <c r="D225" i="1"/>
  <c r="D224" i="1"/>
  <c r="D223" i="1"/>
  <c r="D218" i="1"/>
  <c r="D216" i="1"/>
  <c r="D212" i="1"/>
  <c r="D210" i="1"/>
  <c r="D250" i="1"/>
  <c r="D248" i="1"/>
  <c r="D247" i="1"/>
  <c r="D144" i="1"/>
  <c r="D245" i="1"/>
  <c r="D243" i="1"/>
  <c r="D128" i="1"/>
  <c r="D229" i="1"/>
  <c r="D228" i="1"/>
  <c r="D227" i="1"/>
  <c r="D226" i="1"/>
  <c r="D220" i="1"/>
  <c r="D219" i="1"/>
  <c r="D214" i="1"/>
  <c r="D211" i="1"/>
  <c r="D148" i="1"/>
  <c r="D202" i="1"/>
  <c r="D238" i="1"/>
  <c r="D52" i="1"/>
  <c r="D57" i="1"/>
  <c r="D51" i="1"/>
  <c r="D53" i="1"/>
  <c r="D54" i="1"/>
  <c r="D249" i="1"/>
  <c r="D246" i="1"/>
  <c r="D244" i="1"/>
  <c r="D242" i="1"/>
  <c r="D241" i="1"/>
  <c r="D240" i="1"/>
  <c r="D231" i="1"/>
  <c r="D81" i="1"/>
  <c r="D221" i="1"/>
  <c r="D215" i="1"/>
  <c r="D48" i="1"/>
  <c r="D92" i="1"/>
  <c r="D206" i="1"/>
  <c r="D205" i="1"/>
  <c r="D203" i="1"/>
  <c r="D91" i="1"/>
  <c r="D350" i="1"/>
  <c r="D143" i="1"/>
  <c r="D357" i="1"/>
  <c r="D344" i="1"/>
  <c r="D343" i="1"/>
  <c r="D365" i="1"/>
  <c r="D353" i="1"/>
  <c r="D346" i="1"/>
  <c r="D359" i="1"/>
  <c r="D341" i="1"/>
  <c r="D364" i="1"/>
  <c r="D362" i="1"/>
  <c r="D340" i="1"/>
  <c r="D373" i="1"/>
  <c r="D372" i="1"/>
  <c r="D356" i="1"/>
  <c r="D124" i="1"/>
  <c r="D355" i="1"/>
  <c r="D360" i="1"/>
  <c r="D22" i="1"/>
  <c r="D354" i="1"/>
  <c r="D351" i="1"/>
  <c r="D348" i="1"/>
  <c r="D347" i="1"/>
  <c r="D28" i="1"/>
  <c r="D342" i="1"/>
  <c r="D338" i="1"/>
  <c r="D336" i="1"/>
  <c r="D335" i="1"/>
  <c r="D334" i="1"/>
  <c r="D345" i="1"/>
  <c r="D333" i="1"/>
  <c r="D371" i="1"/>
  <c r="D370" i="1"/>
  <c r="D366" i="1"/>
  <c r="D363" i="1"/>
  <c r="D361" i="1"/>
  <c r="D68" i="1"/>
  <c r="D49" i="1"/>
  <c r="D339" i="1"/>
  <c r="D36" i="1"/>
  <c r="D190" i="1" l="1"/>
  <c r="D189" i="1"/>
  <c r="D186" i="1"/>
  <c r="D185" i="1"/>
  <c r="D184" i="1"/>
  <c r="D183" i="1"/>
  <c r="D181" i="1"/>
  <c r="D180" i="1"/>
  <c r="D179" i="1"/>
  <c r="D178" i="1"/>
  <c r="D177" i="1"/>
  <c r="D175" i="1"/>
  <c r="D174" i="1"/>
  <c r="D173" i="1"/>
  <c r="D172" i="1"/>
  <c r="D171" i="1"/>
  <c r="D170" i="1"/>
  <c r="D169" i="1"/>
  <c r="D168" i="1"/>
  <c r="D167" i="1"/>
  <c r="D166" i="1"/>
  <c r="D165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7" i="1"/>
  <c r="D146" i="1"/>
  <c r="D145" i="1"/>
  <c r="D142" i="1"/>
  <c r="D141" i="1"/>
  <c r="D139" i="1"/>
  <c r="D138" i="1"/>
  <c r="D136" i="1"/>
  <c r="D134" i="1"/>
  <c r="D133" i="1"/>
  <c r="D132" i="1"/>
  <c r="D131" i="1"/>
  <c r="D130" i="1"/>
  <c r="D129" i="1"/>
  <c r="D126" i="1"/>
  <c r="D125" i="1"/>
  <c r="D123" i="1"/>
  <c r="D122" i="1"/>
  <c r="D121" i="1"/>
  <c r="D120" i="1"/>
  <c r="D118" i="1"/>
  <c r="D117" i="1"/>
  <c r="D115" i="1"/>
  <c r="D114" i="1"/>
  <c r="D113" i="1"/>
  <c r="D112" i="1"/>
  <c r="D111" i="1"/>
  <c r="D110" i="1"/>
  <c r="D107" i="1"/>
  <c r="D104" i="1"/>
  <c r="D103" i="1"/>
  <c r="D102" i="1"/>
  <c r="D101" i="1"/>
  <c r="D100" i="1"/>
  <c r="D99" i="1"/>
  <c r="D97" i="1"/>
  <c r="D96" i="1"/>
  <c r="D95" i="1"/>
  <c r="D94" i="1"/>
  <c r="D93" i="1"/>
  <c r="D90" i="1"/>
  <c r="D89" i="1"/>
  <c r="D88" i="1"/>
  <c r="D86" i="1"/>
  <c r="D85" i="1"/>
  <c r="D84" i="1"/>
  <c r="D83" i="1"/>
  <c r="D80" i="1"/>
  <c r="D76" i="1"/>
  <c r="D75" i="1"/>
  <c r="D74" i="1"/>
  <c r="D71" i="1"/>
  <c r="D70" i="1"/>
  <c r="D69" i="1"/>
  <c r="D67" i="1"/>
  <c r="D64" i="1"/>
  <c r="D58" i="1"/>
  <c r="D55" i="1"/>
  <c r="D47" i="1"/>
  <c r="D43" i="1"/>
  <c r="D42" i="1"/>
  <c r="D41" i="1"/>
  <c r="D40" i="1"/>
  <c r="D39" i="1"/>
  <c r="D38" i="1"/>
  <c r="D35" i="1"/>
  <c r="D32" i="1"/>
  <c r="D30" i="1"/>
  <c r="D27" i="1"/>
  <c r="D26" i="1"/>
  <c r="D17" i="1"/>
  <c r="D16" i="1"/>
  <c r="D13" i="1"/>
  <c r="D12" i="1"/>
  <c r="D10" i="1"/>
  <c r="D9" i="1"/>
  <c r="D8" i="1"/>
  <c r="D7" i="1"/>
  <c r="D377" i="1" l="1"/>
  <c r="D375" i="1" l="1"/>
  <c r="D379" i="1" s="1"/>
</calcChain>
</file>

<file path=xl/sharedStrings.xml><?xml version="1.0" encoding="utf-8"?>
<sst xmlns="http://schemas.openxmlformats.org/spreadsheetml/2006/main" count="1122" uniqueCount="382">
  <si>
    <t>Назва Об’єкта (адреса)</t>
  </si>
  <si>
    <t>Вул. Гаванська</t>
  </si>
  <si>
    <t>Вул. Курсантська</t>
  </si>
  <si>
    <t>Вул. Німецька</t>
  </si>
  <si>
    <t>Вул. Столярна</t>
  </si>
  <si>
    <t>Вул. Іларіонівська</t>
  </si>
  <si>
    <t>Вул. Кадрова</t>
  </si>
  <si>
    <t>Вул. 20-річчя Перемоги</t>
  </si>
  <si>
    <t>Вул. Немировича-Данченка,28</t>
  </si>
  <si>
    <t>Вул. Космонавтів</t>
  </si>
  <si>
    <t>Вул. Електрична</t>
  </si>
  <si>
    <t>Вул. Кремінна</t>
  </si>
  <si>
    <t>Вул. Педагогічна</t>
  </si>
  <si>
    <t>Просп. Гагаріна</t>
  </si>
  <si>
    <t>Вул. Лабораторна</t>
  </si>
  <si>
    <t>Вул. Архітектора Олега Петрова</t>
  </si>
  <si>
    <t>Вул. Академіка Георгія Дзяка</t>
  </si>
  <si>
    <t>Вул. Телевізійна</t>
  </si>
  <si>
    <t>Вул. Лешко-Попеля</t>
  </si>
  <si>
    <t>Просп. Дмитра Яворницького</t>
  </si>
  <si>
    <t>Вул. Володимира Вернадського</t>
  </si>
  <si>
    <t>пл. Соборна</t>
  </si>
  <si>
    <t>бульв. Слави</t>
  </si>
  <si>
    <t>Вул. Олександра Кукурби</t>
  </si>
  <si>
    <t>Вул. Полігонна</t>
  </si>
  <si>
    <t>Вул. Космічна</t>
  </si>
  <si>
    <t>Вул. 6-ї Стрілецької Дивізії</t>
  </si>
  <si>
    <t>Вул. Шевченка</t>
  </si>
  <si>
    <t>Вул. Паторжинського</t>
  </si>
  <si>
    <t>Вул. Ламана</t>
  </si>
  <si>
    <t>Вул. Лазаряна</t>
  </si>
  <si>
    <t>Вул. Переможна</t>
  </si>
  <si>
    <t>Вул. Січеславська Набережна</t>
  </si>
  <si>
    <t>Вул. Набережна Перемоги</t>
  </si>
  <si>
    <t>Вул. Михайла Коцюбинського</t>
  </si>
  <si>
    <t>Шосе Запорізьке</t>
  </si>
  <si>
    <t>Вул. Генерала Капустянського</t>
  </si>
  <si>
    <t>Вул. Спаська</t>
  </si>
  <si>
    <t>Вул. Академіка Чекмарьова</t>
  </si>
  <si>
    <t>Вул. Героїв Крут</t>
  </si>
  <si>
    <t>Вул. Сімферопольська</t>
  </si>
  <si>
    <t>Узвіз Лоцманський</t>
  </si>
  <si>
    <t>Вул. Далека</t>
  </si>
  <si>
    <t>Вул. Сергія Єфремова</t>
  </si>
  <si>
    <t>Вул. Володимира Винниченка</t>
  </si>
  <si>
    <t>Пров. Євгена Коновальця</t>
  </si>
  <si>
    <t>Пл. Шевченка</t>
  </si>
  <si>
    <t>Вул. Барикадна</t>
  </si>
  <si>
    <t>Вул. Виконкомівська</t>
  </si>
  <si>
    <t>Пл. Вокзальна</t>
  </si>
  <si>
    <t>Пл. Старомостова</t>
  </si>
  <si>
    <t>Просп. Пилипа Орлика</t>
  </si>
  <si>
    <t>Вул. Князя Ярослава Мудрого</t>
  </si>
  <si>
    <t>Просп. Лесі Українки</t>
  </si>
  <si>
    <t>Вул. Княгині Ольги</t>
  </si>
  <si>
    <t>Вул. Степана Бандери</t>
  </si>
  <si>
    <t>Вул. Пастера</t>
  </si>
  <si>
    <t>Вул. Вокзальна</t>
  </si>
  <si>
    <t>Вул. Привокзальна</t>
  </si>
  <si>
    <t>Вул. Старокозацька</t>
  </si>
  <si>
    <t>Вул. Леоніда Стромцова</t>
  </si>
  <si>
    <t>Вул. Гавриленка</t>
  </si>
  <si>
    <t>Вул. Воскресенська</t>
  </si>
  <si>
    <t>Вул. Короленка</t>
  </si>
  <si>
    <t>Вул. Ігоря Сікорського</t>
  </si>
  <si>
    <t>Вул. Павлова</t>
  </si>
  <si>
    <t>Вул. Менахем-Мендл Шнеєрсова</t>
  </si>
  <si>
    <t>Вул. Свєтлова</t>
  </si>
  <si>
    <t>Просп. Олександра Поля</t>
  </si>
  <si>
    <t>Вул. Ульянова</t>
  </si>
  <si>
    <t>Вул. 128-ї Бригади Тероборони</t>
  </si>
  <si>
    <t>Вул. Столярова</t>
  </si>
  <si>
    <t>Вул. Мостова</t>
  </si>
  <si>
    <t>Вул. Юліуша Словацького</t>
  </si>
  <si>
    <t>Вул. Андрія Фабра</t>
  </si>
  <si>
    <t>Вул. Європейська</t>
  </si>
  <si>
    <t>Проїзд Олександра Гальченка</t>
  </si>
  <si>
    <t>Вул. Панікахи</t>
  </si>
  <si>
    <t>Просп. Богдана Хмельницького</t>
  </si>
  <si>
    <t>Вул. Січових стрільців</t>
  </si>
  <si>
    <t>Вул. Князя Володимира Великого</t>
  </si>
  <si>
    <t>Вул. Михайла Грушевського</t>
  </si>
  <si>
    <t>Вул. Бородинська</t>
  </si>
  <si>
    <t>Вул. Олександра Кониського</t>
  </si>
  <si>
    <t>Вул. Барвінківська</t>
  </si>
  <si>
    <t>Вул. В’ячеслава Липинського</t>
  </si>
  <si>
    <t>Вул. Магдебузького права</t>
  </si>
  <si>
    <t>Вул. Сурсько-Литовська</t>
  </si>
  <si>
    <t>Вул. Россі</t>
  </si>
  <si>
    <t>Вул. Соледарська</t>
  </si>
  <si>
    <t>Пл. Троїцька</t>
  </si>
  <si>
    <t>Вул. Бориса Кротова</t>
  </si>
  <si>
    <t>Вул. Данила Нечая</t>
  </si>
  <si>
    <t>Вул. Троїцька</t>
  </si>
  <si>
    <t>Вул. Надії Алексєєнко</t>
  </si>
  <si>
    <t>Вул. Канатна</t>
  </si>
  <si>
    <t>Вул. Володимира Антоновича</t>
  </si>
  <si>
    <t>Вул. Макарова</t>
  </si>
  <si>
    <t>Вул. Дмитра Кедріна</t>
  </si>
  <si>
    <t>Вул. Тісна</t>
  </si>
  <si>
    <t>Вул. Івана Езау</t>
  </si>
  <si>
    <t>Вул. Щепкіна</t>
  </si>
  <si>
    <t>Вул. Титова</t>
  </si>
  <si>
    <t>Вул. Артилерійська</t>
  </si>
  <si>
    <t>Вул. Новокримська</t>
  </si>
  <si>
    <t>Вул. Робоча</t>
  </si>
  <si>
    <t>Вул. Петра Яцика</t>
  </si>
  <si>
    <t>Вул. Старочумацька</t>
  </si>
  <si>
    <t>Просп. Слобожанський</t>
  </si>
  <si>
    <t xml:space="preserve">Вул. Зразкова </t>
  </si>
  <si>
    <t>Вул. Батумська</t>
  </si>
  <si>
    <t>Вул. Богдана Хмельницького</t>
  </si>
  <si>
    <t>Просп. Петра Калнишевського</t>
  </si>
  <si>
    <t>Вул. Поштова</t>
  </si>
  <si>
    <t>Вул. Висока</t>
  </si>
  <si>
    <t>Просп. Миру</t>
  </si>
  <si>
    <t>Вул. Осіння</t>
  </si>
  <si>
    <t>Вул. Березинська</t>
  </si>
  <si>
    <t>Вул. Холодильна</t>
  </si>
  <si>
    <t>Вул. Менделєєва</t>
  </si>
  <si>
    <t>Вул. Кринична</t>
  </si>
  <si>
    <t>Пров. Фестивальний</t>
  </si>
  <si>
    <t>Вул. Кузбаська</t>
  </si>
  <si>
    <t>Вул. Базавлуцька</t>
  </si>
  <si>
    <t>Вул. Травнева</t>
  </si>
  <si>
    <t>Вул. Кільченська</t>
  </si>
  <si>
    <t>Вул. Набережна Заводська</t>
  </si>
  <si>
    <t>Пров. Парусний</t>
  </si>
  <si>
    <t>Вул. Поперечна</t>
  </si>
  <si>
    <t>Вул. Мисливська</t>
  </si>
  <si>
    <t>Вул. Добровільна</t>
  </si>
  <si>
    <t>Вул. Рудна</t>
  </si>
  <si>
    <t>Вул. 9-го травня</t>
  </si>
  <si>
    <t>Вул. Деревлянська</t>
  </si>
  <si>
    <t>Просп. Сергія Нігояна</t>
  </si>
  <si>
    <t>Вул. Данила Галицького</t>
  </si>
  <si>
    <t>Вул. Західний Шлях</t>
  </si>
  <si>
    <t>Вул. Панаса Мирного</t>
  </si>
  <si>
    <t xml:space="preserve">Узв. Воздвиженський </t>
  </si>
  <si>
    <t>Вул. Метробудівська</t>
  </si>
  <si>
    <t>Вул. Юрія Кондратюка</t>
  </si>
  <si>
    <t>Вул. Чорноземна</t>
  </si>
  <si>
    <t>Просп. Свободи</t>
  </si>
  <si>
    <t>Вул. Вільямса</t>
  </si>
  <si>
    <t>Вул. Мукачівська</t>
  </si>
  <si>
    <t xml:space="preserve">Вул. Героїв УПА </t>
  </si>
  <si>
    <t>Вул. Олександра Оксанченка</t>
  </si>
  <si>
    <t>Просп. Івана Мазепи</t>
  </si>
  <si>
    <t>Вул. Фатіми Гафурової</t>
  </si>
  <si>
    <t>Вул. Ганни Барвінок</t>
  </si>
  <si>
    <t>Вул. Погоріла</t>
  </si>
  <si>
    <t>Вул. Генерала Волівача</t>
  </si>
  <si>
    <t>Вул. Новопокровська</t>
  </si>
  <si>
    <t>Вул. Миколи Зерова</t>
  </si>
  <si>
    <t>Вул. Андрійченка</t>
  </si>
  <si>
    <t>Вул. Миколи Хвильового</t>
  </si>
  <si>
    <t>Пров. Прияружиний</t>
  </si>
  <si>
    <t>Вул. Доблесна</t>
  </si>
  <si>
    <t>Вул. Кайдацький шлях</t>
  </si>
  <si>
    <t>Вул. Київська</t>
  </si>
  <si>
    <t>Вул. Моніторна</t>
  </si>
  <si>
    <t>Вул. Калинова</t>
  </si>
  <si>
    <t>Вул. Промислова</t>
  </si>
  <si>
    <t>Вул. Яхненківська</t>
  </si>
  <si>
    <t>Вул. Симиренківська</t>
  </si>
  <si>
    <t>Вул. Широка</t>
  </si>
  <si>
    <t>Вул. Верховинська</t>
  </si>
  <si>
    <t>Вул. Луганська</t>
  </si>
  <si>
    <t>Вул. Гульдівська</t>
  </si>
  <si>
    <t>Вул. Бутлерова</t>
  </si>
  <si>
    <t>Вул. Братиславська</t>
  </si>
  <si>
    <t>Вул. Передова</t>
  </si>
  <si>
    <t>Вул. Дворічна</t>
  </si>
  <si>
    <t>Вул. Володимира Пилишенка</t>
  </si>
  <si>
    <t>Пров. Універсальний</t>
  </si>
  <si>
    <t>Вул. Янтарна</t>
  </si>
  <si>
    <t>Вул. Степана Рудницького</t>
  </si>
  <si>
    <t>Вул. Берегова</t>
  </si>
  <si>
    <t>Вул. Брилів Шлях</t>
  </si>
  <si>
    <t>Вул. Федора Вовка</t>
  </si>
  <si>
    <t>Вул. Луговська</t>
  </si>
  <si>
    <t>Просп. Мануйлівський</t>
  </si>
  <si>
    <t>Вул. Щитова</t>
  </si>
  <si>
    <t>Вул. Вітчизняна</t>
  </si>
  <si>
    <t>Вул. Євгена Чикаленка</t>
  </si>
  <si>
    <t>Кирилівський шляхопровід</t>
  </si>
  <si>
    <t>Усть-Самарський міст з підходами</t>
  </si>
  <si>
    <t>Південний міст з розв’язками</t>
  </si>
  <si>
    <t>Самарський міст</t>
  </si>
  <si>
    <t>Кайдацький міст</t>
  </si>
  <si>
    <t>Амурський міст</t>
  </si>
  <si>
    <t>пров. Вільний, 5, 7</t>
  </si>
  <si>
    <t>шосе Донецьке, 119</t>
  </si>
  <si>
    <t>вул. Латвійська</t>
  </si>
  <si>
    <t>вул. П’ятихатки</t>
  </si>
  <si>
    <t>пров. Окопний</t>
  </si>
  <si>
    <t>вул. Китайгородська</t>
  </si>
  <si>
    <t>вул. Казахстанська</t>
  </si>
  <si>
    <t>вул. Гуртова</t>
  </si>
  <si>
    <t>вул. Велика Діївська</t>
  </si>
  <si>
    <t>вул. Архітектора Дольника</t>
  </si>
  <si>
    <t>вул. Святослава Хороброго</t>
  </si>
  <si>
    <t>вул. Василя Сліпака</t>
  </si>
  <si>
    <t>просп. Слобожанський, в районі буд 14б</t>
  </si>
  <si>
    <t>вул. Коротка</t>
  </si>
  <si>
    <t>просп. Миру, 43</t>
  </si>
  <si>
    <t>вул. Козацька</t>
  </si>
  <si>
    <t>вул. Шодуарівська, в районі буд. 1, 3, 5</t>
  </si>
  <si>
    <t>вул. Кавалерійська</t>
  </si>
  <si>
    <t>вул. Дмитра Скоробогатова</t>
  </si>
  <si>
    <t>просп. Металургів</t>
  </si>
  <si>
    <t>вул. Василя Сліпака, 50а</t>
  </si>
  <si>
    <t>вул. Робоча, 23, 23а</t>
  </si>
  <si>
    <t>вул. Криворізька, 70</t>
  </si>
  <si>
    <t>вул. Дмитра Скоробогатова, 5, 7</t>
  </si>
  <si>
    <t>вул. Геологічна</t>
  </si>
  <si>
    <t>вул. Генерала Пушкіна</t>
  </si>
  <si>
    <t>вул. Дмитра Кедріна, 66</t>
  </si>
  <si>
    <t>вул. Робоча, 97б</t>
  </si>
  <si>
    <t>вул. Дмитра Кедріна, 64а</t>
  </si>
  <si>
    <t>вул. Кості Гордієнка</t>
  </si>
  <si>
    <t>вул. Ріжкова</t>
  </si>
  <si>
    <t>пров. Івана Сохача</t>
  </si>
  <si>
    <t>вул. Лісова</t>
  </si>
  <si>
    <t>вул. Орловська</t>
  </si>
  <si>
    <t>вул. Козака Мамая</t>
  </si>
  <si>
    <t>вул. Новошкільна</t>
  </si>
  <si>
    <t>вул. Потічна</t>
  </si>
  <si>
    <t>вул. Національної Гвардії</t>
  </si>
  <si>
    <t>вул. Семафорна</t>
  </si>
  <si>
    <t>вул. Дніпросталівська</t>
  </si>
  <si>
    <t>вул. Журналістів</t>
  </si>
  <si>
    <t>просп. Пилипа Орлика, 15а</t>
  </si>
  <si>
    <t>просп. Миру, 4</t>
  </si>
  <si>
    <t>вул. Інженерна, 12</t>
  </si>
  <si>
    <t>вул. Козака Мамая, 12, 14</t>
  </si>
  <si>
    <t>вул. Тополина</t>
  </si>
  <si>
    <t>вул. Посполита</t>
  </si>
  <si>
    <t>вул. Воскресенська, 2</t>
  </si>
  <si>
    <t>вул. Велика Діївська, 40</t>
  </si>
  <si>
    <t>вул. Воскресенська, 4, 4а, 4б</t>
  </si>
  <si>
    <t>вул. Полковника Горленка</t>
  </si>
  <si>
    <t>пл. Успенська, 1</t>
  </si>
  <si>
    <t>вул. Квартальна, 27, 31</t>
  </si>
  <si>
    <t>вул. Павла Нірінберга</t>
  </si>
  <si>
    <t>вул. Гайова</t>
  </si>
  <si>
    <t>вул. Філософська</t>
  </si>
  <si>
    <t>вул. 25-ї Січеславської бригади</t>
  </si>
  <si>
    <t>вул. Ірпінська</t>
  </si>
  <si>
    <t>вул. Ніла Армстронга</t>
  </si>
  <si>
    <t>вул. Василя Чапленка</t>
  </si>
  <si>
    <t>вул. Богомаза, 196</t>
  </si>
  <si>
    <t>вул. Глобинська, 1</t>
  </si>
  <si>
    <t>вул. Бехтерева</t>
  </si>
  <si>
    <t xml:space="preserve">вул. Старий Шлях </t>
  </si>
  <si>
    <t>вул. Новоукраїнська</t>
  </si>
  <si>
    <t>вул. Прикордонна</t>
  </si>
  <si>
    <t>вул. Квітки Цісик, 16б</t>
  </si>
  <si>
    <t>ж/м Парус-1, 1Г, 1Д, 3, 3І</t>
  </si>
  <si>
    <t>вул.  Квартальна, 29</t>
  </si>
  <si>
    <t>проїзд від вул. Прикордоної до вул. Бориса Кротова</t>
  </si>
  <si>
    <t>проїзд від вул. Тополиної до вул. Панікахи</t>
  </si>
  <si>
    <t>вул. Сонячна Набережна</t>
  </si>
  <si>
    <t>вул. Монастирській острів, 9</t>
  </si>
  <si>
    <t>вул. Велика Діївська, 22</t>
  </si>
  <si>
    <t>ж/м Парус-1, 1а, 1в</t>
  </si>
  <si>
    <t>вул. Робоча, 168</t>
  </si>
  <si>
    <t>вул. Квартальна, 24, 26</t>
  </si>
  <si>
    <t>вул. Січеславська Набережна, 10а</t>
  </si>
  <si>
    <t>просп. Богдана Хмельницького, 41,45,47</t>
  </si>
  <si>
    <t>вул. Квітки Цісик, 14, 14а</t>
  </si>
  <si>
    <t>вул. Богданова</t>
  </si>
  <si>
    <t>вул. Ньютона</t>
  </si>
  <si>
    <t>вул. Квітки Цісик, 16, 16а</t>
  </si>
  <si>
    <t>Юр’ївська розв’язка</t>
  </si>
  <si>
    <t>вул. Титова, 2</t>
  </si>
  <si>
    <t>просп. Героїв, 3,7</t>
  </si>
  <si>
    <t>просп. Богдана Хмельницького, 4в, 4г</t>
  </si>
  <si>
    <t>просп. Героїв, 18, 18а</t>
  </si>
  <si>
    <t>вул. Святослава Хороброго, 29а</t>
  </si>
  <si>
    <t>ж/м Парус-1, Б, 1К, 1</t>
  </si>
  <si>
    <t>ж/м Парус-1, 6</t>
  </si>
  <si>
    <t>вул. Бєляєва, 4</t>
  </si>
  <si>
    <t>узвіз Самарський</t>
  </si>
  <si>
    <t>вул. Каруни</t>
  </si>
  <si>
    <t>вул. Любарського</t>
  </si>
  <si>
    <t>просп. Гагаріна, 108, 112</t>
  </si>
  <si>
    <t>вул. Високовольтна</t>
  </si>
  <si>
    <t>вул. Тероборони</t>
  </si>
  <si>
    <t>вул. Героїв Рятувальників</t>
  </si>
  <si>
    <t>просп. Олександра Поля, 135, 135а,135б, 137, 137а</t>
  </si>
  <si>
    <t>вул. Мандриківська, 137</t>
  </si>
  <si>
    <t>вул. Набережна Перемоги, 62а</t>
  </si>
  <si>
    <t>проїзд від просп. Петра Калнишевського, 70 до сзш 118</t>
  </si>
  <si>
    <t>просп. Петра Калнишевського,70</t>
  </si>
  <si>
    <t>вул. Чаплинська</t>
  </si>
  <si>
    <t>вул. Усть-Самарська</t>
  </si>
  <si>
    <t>вул. Борислава Брондукова</t>
  </si>
  <si>
    <t>вул. Панікахи, 53</t>
  </si>
  <si>
    <t>вул. Перемоги</t>
  </si>
  <si>
    <t>просп. Героїв, 14а</t>
  </si>
  <si>
    <t>вул. Переможна</t>
  </si>
  <si>
    <t>узвіз Кодацький</t>
  </si>
  <si>
    <t>вул. Горяна</t>
  </si>
  <si>
    <t>вул. Любомира Гузара</t>
  </si>
  <si>
    <t>вул. Бєляєва</t>
  </si>
  <si>
    <t>шосе Донецьке, 3</t>
  </si>
  <si>
    <t>вул. Котляревського</t>
  </si>
  <si>
    <t>вул. Яскрава</t>
  </si>
  <si>
    <t>вул. Богдана Хмельницького, 17</t>
  </si>
  <si>
    <t>вул. Платнірівська</t>
  </si>
  <si>
    <t>шосе Полтавське</t>
  </si>
  <si>
    <t>узвіз Близнюківський</t>
  </si>
  <si>
    <t>ж/м Сокіл,1</t>
  </si>
  <si>
    <t>просп. Героїв</t>
  </si>
  <si>
    <t>вул. Академіка Корольова</t>
  </si>
  <si>
    <t>вул. Сержанта Литвищенка</t>
  </si>
  <si>
    <t>вул. Данила Галицького, 41, 43, 45, 47</t>
  </si>
  <si>
    <t>вул. Алана Шепарда</t>
  </si>
  <si>
    <t>вул. Академіка Янгеля</t>
  </si>
  <si>
    <t>вул. Будівельників</t>
  </si>
  <si>
    <t>вул. Набережна Заводська, 82</t>
  </si>
  <si>
    <t>просп. Героїв, 4,6</t>
  </si>
  <si>
    <t>вул. Юрія Кондратюка, 16</t>
  </si>
  <si>
    <t>вул. Гусенка</t>
  </si>
  <si>
    <t>вул. Олеся Гончара</t>
  </si>
  <si>
    <t>вул. Лоцманська</t>
  </si>
  <si>
    <t>вул. Мільмана</t>
  </si>
  <si>
    <t>вул. Набережна Перемоги, 78</t>
  </si>
  <si>
    <t>тупик Светлова</t>
  </si>
  <si>
    <t>шосе Донецьке, 1</t>
  </si>
  <si>
    <t>проїзд від вул. Івана Багряного, 13 до вул. Немировича-Данченка</t>
  </si>
  <si>
    <t>вул. Левка Лук’яненка</t>
  </si>
  <si>
    <t>вул. Володимира Моссаковського</t>
  </si>
  <si>
    <t>вул. Гоголя</t>
  </si>
  <si>
    <t>вул. Старий Шлях, в районі буд. 77</t>
  </si>
  <si>
    <t>узвіз Гірськолижників</t>
  </si>
  <si>
    <t>вул. Полігонна, 18а, 18б,</t>
  </si>
  <si>
    <t>вул. Стартова</t>
  </si>
  <si>
    <t>вул. Харківська</t>
  </si>
  <si>
    <t>вул. Миколи Гнатюка</t>
  </si>
  <si>
    <t>вул. Данила Галицького, 81, 83, 85</t>
  </si>
  <si>
    <t>вул. Алли Горської</t>
  </si>
  <si>
    <t>просп. Героїв, 12</t>
  </si>
  <si>
    <t>Вартість, грн</t>
  </si>
  <si>
    <t>вул. Богдана Хмельницького, 7</t>
  </si>
  <si>
    <t>вул. Академіка Белелюбського</t>
  </si>
  <si>
    <t>вул. Дмитра Донцова</t>
  </si>
  <si>
    <t>вул. Дарницька</t>
  </si>
  <si>
    <t>бульв. Зоряний</t>
  </si>
  <si>
    <t>вул. Шукліна</t>
  </si>
  <si>
    <t>вул. Василя Мазова</t>
  </si>
  <si>
    <t>вул. Інженерна, 2,2а,2б</t>
  </si>
  <si>
    <t>просп. Богдана Хмельницького, 121,125</t>
  </si>
  <si>
    <t>просп. Богдана Хмельницького, 119, 123, 127</t>
  </si>
  <si>
    <t>вул. Інженерна, 4а</t>
  </si>
  <si>
    <t>вул. Казакевича,1</t>
  </si>
  <si>
    <t>вул. Казакевича,3</t>
  </si>
  <si>
    <t>вул. Іркутська</t>
  </si>
  <si>
    <t>від вул. Гельсінської, 41 (Далекосхідної) до вул. Гельсінської, 1 (Далекосхідної)</t>
  </si>
  <si>
    <t>вул. Юрія Липи, 3 (Усенка)</t>
  </si>
  <si>
    <t>вул. Братів Бачинських (Радищева)</t>
  </si>
  <si>
    <t>вул. 152-ї Дивізії</t>
  </si>
  <si>
    <t>вул. Інженера Горяїнова( Марата)</t>
  </si>
  <si>
    <t>вул. Макова (Тьоміна)</t>
  </si>
  <si>
    <t>просп. Миру, 93</t>
  </si>
  <si>
    <t>сквер Бориса Кротова</t>
  </si>
  <si>
    <t>вул. Технічна (Трудових резервів)</t>
  </si>
  <si>
    <t>проїзд від вул. Березинської до вул. Старочумацької</t>
  </si>
  <si>
    <t>просп. Свободи, 80</t>
  </si>
  <si>
    <t>вул. Кавалерійська, 9</t>
  </si>
  <si>
    <t>Вул. Немировича-Данченка</t>
  </si>
  <si>
    <t>вул. Писаржевського</t>
  </si>
  <si>
    <t>вул. Українська</t>
  </si>
  <si>
    <t>Найменування робіт</t>
  </si>
  <si>
    <t>Дата початку робіт</t>
  </si>
  <si>
    <t>Статус</t>
  </si>
  <si>
    <t>Виконано</t>
  </si>
  <si>
    <t>Ремонт дорожнього та тротуарного покриття</t>
  </si>
  <si>
    <t>Ремонт дорожнього покриття</t>
  </si>
  <si>
    <t>Ремонт дорожнього та тротарного покриття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</si>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</sst>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₴&quot;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1F1F1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center"/>
    </xf>
    <xf numFmtId="164" fontId="1" fillId="0" borderId="3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9"/>
  <sheetViews>
    <sheetView tabSelected="1" zoomScale="70" zoomScaleNormal="70" workbookViewId="0">
      <selection activeCell="D57" sqref="D57"/>
    </sheetView>
  </sheetViews>
  <sheetFormatPr defaultRowHeight="18.75" x14ac:dyDescent="0.3"/>
  <cols>
    <col min="1" max="1" width="9.42578125" style="4" customWidth="1"/>
    <col min="2" max="2" width="39" style="4" customWidth="1"/>
    <col min="3" max="3" width="39" style="14" customWidth="1"/>
    <col min="4" max="4" width="33.28515625" style="9" customWidth="1"/>
    <col min="5" max="5" width="23.42578125" customWidth="1"/>
    <col min="6" max="6" width="17.7109375" customWidth="1"/>
    <col min="7" max="7" width="11" customWidth="1"/>
  </cols>
  <sheetData>
    <row r="1" spans="1:6" x14ac:dyDescent="0.25">
      <c r="A1" s="2" t="s">
        <v>381</v>
      </c>
      <c r="B1" s="2" t="s">
        <v>0</v>
      </c>
      <c r="C1" s="11" t="s">
        <v>374</v>
      </c>
      <c r="D1" s="12" t="s">
        <v>344</v>
      </c>
      <c r="E1" s="7" t="s">
        <v>375</v>
      </c>
      <c r="F1" s="7" t="s">
        <v>376</v>
      </c>
    </row>
    <row r="2" spans="1:6" ht="37.5" x14ac:dyDescent="0.25">
      <c r="A2" s="15">
        <v>1</v>
      </c>
      <c r="B2" s="10" t="s">
        <v>1</v>
      </c>
      <c r="C2" s="2" t="s">
        <v>378</v>
      </c>
      <c r="D2" s="17">
        <f>20175190.7</f>
        <v>20175190.699999999</v>
      </c>
      <c r="E2" s="8">
        <v>44938</v>
      </c>
      <c r="F2" s="7" t="s">
        <v>377</v>
      </c>
    </row>
    <row r="3" spans="1:6" x14ac:dyDescent="0.25">
      <c r="A3" s="15">
        <v>2</v>
      </c>
      <c r="B3" s="10" t="s">
        <v>2</v>
      </c>
      <c r="C3" s="2" t="s">
        <v>379</v>
      </c>
      <c r="D3" s="17">
        <f>20548.94+1585270.68</f>
        <v>1605819.6199999999</v>
      </c>
      <c r="E3" s="8">
        <v>44938</v>
      </c>
      <c r="F3" s="7" t="s">
        <v>377</v>
      </c>
    </row>
    <row r="4" spans="1:6" x14ac:dyDescent="0.25">
      <c r="A4" s="15">
        <v>3</v>
      </c>
      <c r="B4" s="10" t="s">
        <v>3</v>
      </c>
      <c r="C4" s="2" t="s">
        <v>379</v>
      </c>
      <c r="D4" s="17">
        <f>1494382.16</f>
        <v>1494382.16</v>
      </c>
      <c r="E4" s="8">
        <v>44938</v>
      </c>
      <c r="F4" s="7" t="s">
        <v>377</v>
      </c>
    </row>
    <row r="5" spans="1:6" x14ac:dyDescent="0.25">
      <c r="A5" s="15">
        <v>4</v>
      </c>
      <c r="B5" s="10" t="s">
        <v>4</v>
      </c>
      <c r="C5" s="2" t="s">
        <v>379</v>
      </c>
      <c r="D5" s="17">
        <f>3174160.11</f>
        <v>3174160.11</v>
      </c>
      <c r="E5" s="8">
        <v>44938</v>
      </c>
      <c r="F5" s="7" t="s">
        <v>377</v>
      </c>
    </row>
    <row r="6" spans="1:6" x14ac:dyDescent="0.25">
      <c r="A6" s="15">
        <v>5</v>
      </c>
      <c r="B6" s="10" t="s">
        <v>5</v>
      </c>
      <c r="C6" s="2" t="s">
        <v>379</v>
      </c>
      <c r="D6" s="17">
        <f>5224857.05+346698.68</f>
        <v>5571555.7299999995</v>
      </c>
      <c r="E6" s="8">
        <v>44938</v>
      </c>
      <c r="F6" s="7" t="s">
        <v>377</v>
      </c>
    </row>
    <row r="7" spans="1:6" x14ac:dyDescent="0.25">
      <c r="A7" s="15">
        <v>6</v>
      </c>
      <c r="B7" s="10" t="s">
        <v>6</v>
      </c>
      <c r="C7" s="2" t="s">
        <v>379</v>
      </c>
      <c r="D7" s="17">
        <f>2674814.74</f>
        <v>2674814.7400000002</v>
      </c>
      <c r="E7" s="8">
        <v>44938</v>
      </c>
      <c r="F7" s="7" t="s">
        <v>377</v>
      </c>
    </row>
    <row r="8" spans="1:6" x14ac:dyDescent="0.25">
      <c r="A8" s="15">
        <v>7</v>
      </c>
      <c r="B8" s="10" t="s">
        <v>7</v>
      </c>
      <c r="C8" s="2" t="s">
        <v>379</v>
      </c>
      <c r="D8" s="17">
        <f>87715.77</f>
        <v>87715.77</v>
      </c>
      <c r="E8" s="8">
        <v>44938</v>
      </c>
      <c r="F8" s="7" t="s">
        <v>377</v>
      </c>
    </row>
    <row r="9" spans="1:6" x14ac:dyDescent="0.25">
      <c r="A9" s="15">
        <v>8</v>
      </c>
      <c r="B9" s="10" t="s">
        <v>8</v>
      </c>
      <c r="C9" s="2" t="s">
        <v>379</v>
      </c>
      <c r="D9" s="17">
        <f>7576.87</f>
        <v>7576.87</v>
      </c>
      <c r="E9" s="8">
        <v>44938</v>
      </c>
      <c r="F9" s="7" t="s">
        <v>377</v>
      </c>
    </row>
    <row r="10" spans="1:6" x14ac:dyDescent="0.25">
      <c r="A10" s="15">
        <v>9</v>
      </c>
      <c r="B10" s="10" t="s">
        <v>9</v>
      </c>
      <c r="C10" s="2" t="s">
        <v>379</v>
      </c>
      <c r="D10" s="17">
        <f>266460.22</f>
        <v>266460.21999999997</v>
      </c>
      <c r="E10" s="8">
        <v>44938</v>
      </c>
      <c r="F10" s="7" t="s">
        <v>377</v>
      </c>
    </row>
    <row r="11" spans="1:6" x14ac:dyDescent="0.25">
      <c r="A11" s="15">
        <v>10</v>
      </c>
      <c r="B11" s="10" t="s">
        <v>10</v>
      </c>
      <c r="C11" s="2" t="s">
        <v>379</v>
      </c>
      <c r="D11" s="17">
        <f>76996.97+108507.02</f>
        <v>185503.99</v>
      </c>
      <c r="E11" s="8">
        <v>44938</v>
      </c>
      <c r="F11" s="7" t="s">
        <v>377</v>
      </c>
    </row>
    <row r="12" spans="1:6" x14ac:dyDescent="0.25">
      <c r="A12" s="15">
        <v>11</v>
      </c>
      <c r="B12" s="10" t="s">
        <v>11</v>
      </c>
      <c r="C12" s="2" t="s">
        <v>379</v>
      </c>
      <c r="D12" s="17">
        <f>274976.18</f>
        <v>274976.18</v>
      </c>
      <c r="E12" s="8">
        <v>44938</v>
      </c>
      <c r="F12" s="7" t="s">
        <v>377</v>
      </c>
    </row>
    <row r="13" spans="1:6" x14ac:dyDescent="0.25">
      <c r="A13" s="15">
        <v>12</v>
      </c>
      <c r="B13" s="10" t="s">
        <v>12</v>
      </c>
      <c r="C13" s="11" t="s">
        <v>379</v>
      </c>
      <c r="D13" s="17">
        <f>12063.18</f>
        <v>12063.18</v>
      </c>
      <c r="E13" s="8">
        <v>44938</v>
      </c>
      <c r="F13" s="7" t="s">
        <v>377</v>
      </c>
    </row>
    <row r="14" spans="1:6" ht="37.5" x14ac:dyDescent="0.25">
      <c r="A14" s="15">
        <v>13</v>
      </c>
      <c r="B14" s="10" t="s">
        <v>13</v>
      </c>
      <c r="C14" s="2" t="s">
        <v>378</v>
      </c>
      <c r="D14" s="17">
        <f>49839583.54</f>
        <v>49839583.539999999</v>
      </c>
      <c r="E14" s="8">
        <v>44938</v>
      </c>
      <c r="F14" s="7" t="s">
        <v>377</v>
      </c>
    </row>
    <row r="15" spans="1:6" x14ac:dyDescent="0.25">
      <c r="A15" s="15">
        <v>14</v>
      </c>
      <c r="B15" s="10" t="s">
        <v>14</v>
      </c>
      <c r="C15" s="2" t="s">
        <v>379</v>
      </c>
      <c r="D15" s="17">
        <f>38361.44+1555936.01</f>
        <v>1594297.45</v>
      </c>
      <c r="E15" s="8">
        <v>44938</v>
      </c>
      <c r="F15" s="7" t="s">
        <v>377</v>
      </c>
    </row>
    <row r="16" spans="1:6" ht="37.5" x14ac:dyDescent="0.25">
      <c r="A16" s="15">
        <v>15</v>
      </c>
      <c r="B16" s="10" t="s">
        <v>15</v>
      </c>
      <c r="C16" s="2" t="s">
        <v>379</v>
      </c>
      <c r="D16" s="17">
        <f>860723.9</f>
        <v>860723.9</v>
      </c>
      <c r="E16" s="8">
        <v>44938</v>
      </c>
      <c r="F16" s="7" t="s">
        <v>377</v>
      </c>
    </row>
    <row r="17" spans="1:6" x14ac:dyDescent="0.25">
      <c r="A17" s="15">
        <v>16</v>
      </c>
      <c r="B17" s="10" t="s">
        <v>16</v>
      </c>
      <c r="C17" s="2" t="s">
        <v>379</v>
      </c>
      <c r="D17" s="17">
        <f>143021.88</f>
        <v>143021.88</v>
      </c>
      <c r="E17" s="8">
        <v>44938</v>
      </c>
      <c r="F17" s="7" t="s">
        <v>377</v>
      </c>
    </row>
    <row r="18" spans="1:6" ht="37.5" x14ac:dyDescent="0.25">
      <c r="A18" s="15">
        <v>17</v>
      </c>
      <c r="B18" s="10" t="s">
        <v>17</v>
      </c>
      <c r="C18" s="2" t="s">
        <v>378</v>
      </c>
      <c r="D18" s="17">
        <f>318675.8+1398559.14+64632.24</f>
        <v>1781867.18</v>
      </c>
      <c r="E18" s="8">
        <v>44938</v>
      </c>
      <c r="F18" s="7" t="s">
        <v>377</v>
      </c>
    </row>
    <row r="19" spans="1:6" x14ac:dyDescent="0.25">
      <c r="A19" s="15">
        <v>18</v>
      </c>
      <c r="B19" s="10" t="s">
        <v>18</v>
      </c>
      <c r="C19" s="2" t="s">
        <v>379</v>
      </c>
      <c r="D19" s="17">
        <f>25835.04+534829.79</f>
        <v>560664.83000000007</v>
      </c>
      <c r="E19" s="8">
        <v>44938</v>
      </c>
      <c r="F19" s="7" t="s">
        <v>377</v>
      </c>
    </row>
    <row r="20" spans="1:6" ht="37.5" x14ac:dyDescent="0.25">
      <c r="A20" s="15">
        <v>19</v>
      </c>
      <c r="B20" s="10" t="s">
        <v>19</v>
      </c>
      <c r="C20" s="2" t="s">
        <v>378</v>
      </c>
      <c r="D20" s="17">
        <f>15821842.66</f>
        <v>15821842.66</v>
      </c>
      <c r="E20" s="8">
        <v>44938</v>
      </c>
      <c r="F20" s="7" t="s">
        <v>377</v>
      </c>
    </row>
    <row r="21" spans="1:6" ht="37.5" x14ac:dyDescent="0.25">
      <c r="A21" s="15">
        <v>20</v>
      </c>
      <c r="B21" s="10" t="s">
        <v>20</v>
      </c>
      <c r="C21" s="2" t="s">
        <v>379</v>
      </c>
      <c r="D21" s="17">
        <v>14416.15</v>
      </c>
      <c r="E21" s="8">
        <v>44938</v>
      </c>
      <c r="F21" s="7" t="s">
        <v>377</v>
      </c>
    </row>
    <row r="22" spans="1:6" ht="37.5" x14ac:dyDescent="0.25">
      <c r="A22" s="15">
        <v>21</v>
      </c>
      <c r="B22" s="10" t="s">
        <v>21</v>
      </c>
      <c r="C22" s="2" t="s">
        <v>378</v>
      </c>
      <c r="D22" s="17">
        <f>2486279.08+965987.5</f>
        <v>3452266.58</v>
      </c>
      <c r="E22" s="8">
        <v>44938</v>
      </c>
      <c r="F22" s="7" t="s">
        <v>377</v>
      </c>
    </row>
    <row r="23" spans="1:6" ht="37.5" x14ac:dyDescent="0.25">
      <c r="A23" s="15">
        <v>22</v>
      </c>
      <c r="B23" s="10" t="s">
        <v>22</v>
      </c>
      <c r="C23" s="2" t="s">
        <v>378</v>
      </c>
      <c r="D23" s="17">
        <f>42157720.88</f>
        <v>42157720.880000003</v>
      </c>
      <c r="E23" s="8">
        <v>44938</v>
      </c>
      <c r="F23" s="7" t="s">
        <v>377</v>
      </c>
    </row>
    <row r="24" spans="1:6" x14ac:dyDescent="0.25">
      <c r="A24" s="15">
        <v>23</v>
      </c>
      <c r="B24" s="10" t="s">
        <v>23</v>
      </c>
      <c r="C24" s="2" t="s">
        <v>379</v>
      </c>
      <c r="D24" s="17">
        <f>110943.5+775066.36</f>
        <v>886009.86</v>
      </c>
      <c r="E24" s="8">
        <v>44938</v>
      </c>
      <c r="F24" s="7" t="s">
        <v>377</v>
      </c>
    </row>
    <row r="25" spans="1:6" x14ac:dyDescent="0.25">
      <c r="A25" s="15">
        <v>24</v>
      </c>
      <c r="B25" s="10" t="s">
        <v>24</v>
      </c>
      <c r="C25" s="2" t="s">
        <v>379</v>
      </c>
      <c r="D25" s="17">
        <f>21815.72+130278.97</f>
        <v>152094.69</v>
      </c>
      <c r="E25" s="8">
        <v>44938</v>
      </c>
      <c r="F25" s="7" t="s">
        <v>377</v>
      </c>
    </row>
    <row r="26" spans="1:6" x14ac:dyDescent="0.25">
      <c r="A26" s="15">
        <v>25</v>
      </c>
      <c r="B26" s="10" t="s">
        <v>25</v>
      </c>
      <c r="C26" s="2" t="s">
        <v>379</v>
      </c>
      <c r="D26" s="17">
        <f>2734452.28</f>
        <v>2734452.28</v>
      </c>
      <c r="E26" s="8">
        <v>44938</v>
      </c>
      <c r="F26" s="7" t="s">
        <v>377</v>
      </c>
    </row>
    <row r="27" spans="1:6" x14ac:dyDescent="0.25">
      <c r="A27" s="15">
        <v>26</v>
      </c>
      <c r="B27" s="10" t="s">
        <v>26</v>
      </c>
      <c r="C27" s="2" t="s">
        <v>379</v>
      </c>
      <c r="D27" s="17">
        <f>22475.54</f>
        <v>22475.54</v>
      </c>
      <c r="E27" s="8">
        <v>44938</v>
      </c>
      <c r="F27" s="7" t="s">
        <v>377</v>
      </c>
    </row>
    <row r="28" spans="1:6" ht="37.5" x14ac:dyDescent="0.25">
      <c r="A28" s="15">
        <v>27</v>
      </c>
      <c r="B28" s="10" t="s">
        <v>27</v>
      </c>
      <c r="C28" s="2" t="s">
        <v>378</v>
      </c>
      <c r="D28" s="17">
        <f>474619.02+470179.09</f>
        <v>944798.1100000001</v>
      </c>
      <c r="E28" s="8">
        <v>44938</v>
      </c>
      <c r="F28" s="7" t="s">
        <v>377</v>
      </c>
    </row>
    <row r="29" spans="1:6" x14ac:dyDescent="0.25">
      <c r="A29" s="15">
        <v>28</v>
      </c>
      <c r="B29" s="10" t="s">
        <v>28</v>
      </c>
      <c r="C29" s="2" t="s">
        <v>379</v>
      </c>
      <c r="D29" s="17">
        <f>33691.64+443252.2</f>
        <v>476943.84</v>
      </c>
      <c r="E29" s="8">
        <v>44938</v>
      </c>
      <c r="F29" s="7" t="s">
        <v>377</v>
      </c>
    </row>
    <row r="30" spans="1:6" x14ac:dyDescent="0.25">
      <c r="A30" s="15">
        <v>29</v>
      </c>
      <c r="B30" s="10" t="s">
        <v>29</v>
      </c>
      <c r="C30" s="2" t="s">
        <v>379</v>
      </c>
      <c r="D30" s="17">
        <f>16406.74</f>
        <v>16406.740000000002</v>
      </c>
      <c r="E30" s="8">
        <v>44938</v>
      </c>
      <c r="F30" s="7" t="s">
        <v>377</v>
      </c>
    </row>
    <row r="31" spans="1:6" x14ac:dyDescent="0.25">
      <c r="A31" s="15">
        <v>30</v>
      </c>
      <c r="B31" s="10" t="s">
        <v>30</v>
      </c>
      <c r="C31" s="2" t="s">
        <v>379</v>
      </c>
      <c r="D31" s="17">
        <f>12762.86+429507.36</f>
        <v>442270.22</v>
      </c>
      <c r="E31" s="8">
        <v>44938</v>
      </c>
      <c r="F31" s="7" t="s">
        <v>377</v>
      </c>
    </row>
    <row r="32" spans="1:6" x14ac:dyDescent="0.25">
      <c r="A32" s="15">
        <v>31</v>
      </c>
      <c r="B32" s="10" t="s">
        <v>31</v>
      </c>
      <c r="C32" s="2" t="s">
        <v>379</v>
      </c>
      <c r="D32" s="17">
        <f>26319.2</f>
        <v>26319.200000000001</v>
      </c>
      <c r="E32" s="8">
        <v>44938</v>
      </c>
      <c r="F32" s="7" t="s">
        <v>377</v>
      </c>
    </row>
    <row r="33" spans="1:6" x14ac:dyDescent="0.25">
      <c r="A33" s="15">
        <v>32</v>
      </c>
      <c r="B33" s="10" t="s">
        <v>32</v>
      </c>
      <c r="C33" s="2" t="s">
        <v>379</v>
      </c>
      <c r="D33" s="17">
        <f>52333.6+246248.34+386669.26</f>
        <v>685251.2</v>
      </c>
      <c r="E33" s="8">
        <v>44938</v>
      </c>
      <c r="F33" s="7" t="s">
        <v>377</v>
      </c>
    </row>
    <row r="34" spans="1:6" x14ac:dyDescent="0.25">
      <c r="A34" s="15">
        <v>33</v>
      </c>
      <c r="B34" s="10" t="s">
        <v>33</v>
      </c>
      <c r="C34" s="11" t="s">
        <v>379</v>
      </c>
      <c r="D34" s="17">
        <f>358671.86+416829.52</f>
        <v>775501.38</v>
      </c>
      <c r="E34" s="8">
        <v>44938</v>
      </c>
      <c r="F34" s="7" t="s">
        <v>377</v>
      </c>
    </row>
    <row r="35" spans="1:6" x14ac:dyDescent="0.25">
      <c r="A35" s="15">
        <v>34</v>
      </c>
      <c r="B35" s="10" t="s">
        <v>34</v>
      </c>
      <c r="C35" s="2" t="s">
        <v>379</v>
      </c>
      <c r="D35" s="17">
        <f>34424.81</f>
        <v>34424.81</v>
      </c>
      <c r="E35" s="8">
        <v>44938</v>
      </c>
      <c r="F35" s="7" t="s">
        <v>377</v>
      </c>
    </row>
    <row r="36" spans="1:6" ht="37.5" x14ac:dyDescent="0.25">
      <c r="A36" s="15">
        <v>35</v>
      </c>
      <c r="B36" s="10" t="s">
        <v>35</v>
      </c>
      <c r="C36" s="2" t="s">
        <v>378</v>
      </c>
      <c r="D36" s="17">
        <f>769416.4+3495637.43</f>
        <v>4265053.83</v>
      </c>
      <c r="E36" s="8">
        <v>44938</v>
      </c>
      <c r="F36" s="7" t="s">
        <v>377</v>
      </c>
    </row>
    <row r="37" spans="1:6" x14ac:dyDescent="0.25">
      <c r="A37" s="15">
        <v>36</v>
      </c>
      <c r="B37" s="10" t="s">
        <v>36</v>
      </c>
      <c r="C37" s="2" t="s">
        <v>379</v>
      </c>
      <c r="D37" s="17">
        <f>1737517.87+34197.53</f>
        <v>1771715.4000000001</v>
      </c>
      <c r="E37" s="8">
        <v>44938</v>
      </c>
      <c r="F37" s="7" t="s">
        <v>377</v>
      </c>
    </row>
    <row r="38" spans="1:6" x14ac:dyDescent="0.25">
      <c r="A38" s="15">
        <v>37</v>
      </c>
      <c r="B38" s="10" t="s">
        <v>37</v>
      </c>
      <c r="C38" s="2" t="s">
        <v>379</v>
      </c>
      <c r="D38" s="17">
        <f>408344.35</f>
        <v>408344.35</v>
      </c>
      <c r="E38" s="8">
        <v>44938</v>
      </c>
      <c r="F38" s="7" t="s">
        <v>377</v>
      </c>
    </row>
    <row r="39" spans="1:6" x14ac:dyDescent="0.25">
      <c r="A39" s="15">
        <v>38</v>
      </c>
      <c r="B39" s="10" t="s">
        <v>38</v>
      </c>
      <c r="C39" s="2" t="s">
        <v>379</v>
      </c>
      <c r="D39" s="17">
        <f>104149.34</f>
        <v>104149.34</v>
      </c>
      <c r="E39" s="8">
        <v>44938</v>
      </c>
      <c r="F39" s="7" t="s">
        <v>377</v>
      </c>
    </row>
    <row r="40" spans="1:6" x14ac:dyDescent="0.25">
      <c r="A40" s="15">
        <v>39</v>
      </c>
      <c r="B40" s="10" t="s">
        <v>39</v>
      </c>
      <c r="C40" s="2" t="s">
        <v>379</v>
      </c>
      <c r="D40" s="17">
        <f>263084.32</f>
        <v>263084.32</v>
      </c>
      <c r="E40" s="8">
        <v>44938</v>
      </c>
      <c r="F40" s="7" t="s">
        <v>377</v>
      </c>
    </row>
    <row r="41" spans="1:6" x14ac:dyDescent="0.25">
      <c r="A41" s="15">
        <v>40</v>
      </c>
      <c r="B41" s="10" t="s">
        <v>40</v>
      </c>
      <c r="C41" s="2" t="s">
        <v>379</v>
      </c>
      <c r="D41" s="17">
        <f>508308.55</f>
        <v>508308.55</v>
      </c>
      <c r="E41" s="8">
        <v>44938</v>
      </c>
      <c r="F41" s="7" t="s">
        <v>377</v>
      </c>
    </row>
    <row r="42" spans="1:6" x14ac:dyDescent="0.25">
      <c r="A42" s="15">
        <v>41</v>
      </c>
      <c r="B42" s="10" t="s">
        <v>41</v>
      </c>
      <c r="C42" s="2" t="s">
        <v>379</v>
      </c>
      <c r="D42" s="17">
        <f>2979244.36</f>
        <v>2979244.36</v>
      </c>
      <c r="E42" s="8">
        <v>44938</v>
      </c>
      <c r="F42" s="7" t="s">
        <v>377</v>
      </c>
    </row>
    <row r="43" spans="1:6" x14ac:dyDescent="0.25">
      <c r="A43" s="15">
        <v>42</v>
      </c>
      <c r="B43" s="10" t="s">
        <v>42</v>
      </c>
      <c r="C43" s="2" t="s">
        <v>379</v>
      </c>
      <c r="D43" s="17">
        <f>1148578.88</f>
        <v>1148578.8799999999</v>
      </c>
      <c r="E43" s="8">
        <v>44938</v>
      </c>
      <c r="F43" s="7" t="s">
        <v>377</v>
      </c>
    </row>
    <row r="44" spans="1:6" ht="37.5" x14ac:dyDescent="0.25">
      <c r="A44" s="15">
        <v>43</v>
      </c>
      <c r="B44" s="10" t="s">
        <v>43</v>
      </c>
      <c r="C44" s="2" t="s">
        <v>378</v>
      </c>
      <c r="D44" s="17">
        <f>21624996.96</f>
        <v>21624996.960000001</v>
      </c>
      <c r="E44" s="8">
        <v>44938</v>
      </c>
      <c r="F44" s="7" t="s">
        <v>377</v>
      </c>
    </row>
    <row r="45" spans="1:6" ht="37.5" x14ac:dyDescent="0.25">
      <c r="A45" s="15">
        <v>44</v>
      </c>
      <c r="B45" s="10" t="s">
        <v>44</v>
      </c>
      <c r="C45" s="2" t="s">
        <v>378</v>
      </c>
      <c r="D45" s="17">
        <f>187048.9+1937659.75+27220.01+6814150</f>
        <v>8966078.6600000001</v>
      </c>
      <c r="E45" s="8">
        <v>44938</v>
      </c>
      <c r="F45" s="7" t="s">
        <v>377</v>
      </c>
    </row>
    <row r="46" spans="1:6" ht="37.5" x14ac:dyDescent="0.25">
      <c r="A46" s="15">
        <v>45</v>
      </c>
      <c r="B46" s="10" t="s">
        <v>45</v>
      </c>
      <c r="C46" s="2" t="s">
        <v>378</v>
      </c>
      <c r="D46" s="17">
        <f>159655.52+1208961.8+4969746.59</f>
        <v>6338363.9100000001</v>
      </c>
      <c r="E46" s="8">
        <v>44938</v>
      </c>
      <c r="F46" s="7" t="s">
        <v>377</v>
      </c>
    </row>
    <row r="47" spans="1:6" x14ac:dyDescent="0.25">
      <c r="A47" s="15">
        <v>46</v>
      </c>
      <c r="B47" s="10" t="s">
        <v>46</v>
      </c>
      <c r="C47" s="2" t="s">
        <v>379</v>
      </c>
      <c r="D47" s="17">
        <f>18222.26</f>
        <v>18222.259999999998</v>
      </c>
      <c r="E47" s="8">
        <v>44938</v>
      </c>
      <c r="F47" s="7" t="s">
        <v>377</v>
      </c>
    </row>
    <row r="48" spans="1:6" ht="37.5" x14ac:dyDescent="0.25">
      <c r="A48" s="15">
        <v>47</v>
      </c>
      <c r="B48" s="10" t="s">
        <v>47</v>
      </c>
      <c r="C48" s="2" t="s">
        <v>380</v>
      </c>
      <c r="D48" s="17">
        <f>4515.54+2554793.74</f>
        <v>2559309.2800000003</v>
      </c>
      <c r="E48" s="8">
        <v>44938</v>
      </c>
      <c r="F48" s="7" t="s">
        <v>377</v>
      </c>
    </row>
    <row r="49" spans="1:6" x14ac:dyDescent="0.25">
      <c r="A49" s="15">
        <v>48</v>
      </c>
      <c r="B49" s="10" t="s">
        <v>48</v>
      </c>
      <c r="C49" s="11" t="s">
        <v>379</v>
      </c>
      <c r="D49" s="18">
        <f>135752.42+210880.7</f>
        <v>346633.12</v>
      </c>
      <c r="E49" s="8">
        <v>44938</v>
      </c>
      <c r="F49" s="7" t="s">
        <v>377</v>
      </c>
    </row>
    <row r="50" spans="1:6" x14ac:dyDescent="0.25">
      <c r="A50" s="15">
        <v>49</v>
      </c>
      <c r="B50" s="10" t="s">
        <v>49</v>
      </c>
      <c r="C50" s="2" t="s">
        <v>379</v>
      </c>
      <c r="D50" s="17">
        <f>37387.01</f>
        <v>37387.01</v>
      </c>
      <c r="E50" s="8">
        <v>44938</v>
      </c>
      <c r="F50" s="7" t="s">
        <v>377</v>
      </c>
    </row>
    <row r="51" spans="1:6" x14ac:dyDescent="0.25">
      <c r="A51" s="15">
        <v>50</v>
      </c>
      <c r="B51" s="10" t="s">
        <v>50</v>
      </c>
      <c r="C51" s="2" t="s">
        <v>379</v>
      </c>
      <c r="D51" s="17">
        <f>86730.05+549822.86</f>
        <v>636552.91</v>
      </c>
      <c r="E51" s="8">
        <v>44938</v>
      </c>
      <c r="F51" s="7" t="s">
        <v>377</v>
      </c>
    </row>
    <row r="52" spans="1:6" x14ac:dyDescent="0.25">
      <c r="A52" s="15">
        <v>51</v>
      </c>
      <c r="B52" s="10" t="s">
        <v>51</v>
      </c>
      <c r="C52" s="2" t="s">
        <v>379</v>
      </c>
      <c r="D52" s="17">
        <f>152574.86+1585326.95</f>
        <v>1737901.81</v>
      </c>
      <c r="E52" s="8">
        <v>44938</v>
      </c>
      <c r="F52" s="7" t="s">
        <v>377</v>
      </c>
    </row>
    <row r="53" spans="1:6" x14ac:dyDescent="0.25">
      <c r="A53" s="15">
        <v>52</v>
      </c>
      <c r="B53" s="10" t="s">
        <v>52</v>
      </c>
      <c r="C53" s="2" t="s">
        <v>379</v>
      </c>
      <c r="D53" s="17">
        <f>4589108.33+121793.74</f>
        <v>4710902.07</v>
      </c>
      <c r="E53" s="8">
        <v>44938</v>
      </c>
      <c r="F53" s="7" t="s">
        <v>377</v>
      </c>
    </row>
    <row r="54" spans="1:6" x14ac:dyDescent="0.25">
      <c r="A54" s="15">
        <v>53</v>
      </c>
      <c r="B54" s="10" t="s">
        <v>53</v>
      </c>
      <c r="C54" s="2" t="s">
        <v>379</v>
      </c>
      <c r="D54" s="17">
        <f>171612.94+1730010.91</f>
        <v>1901623.8499999999</v>
      </c>
      <c r="E54" s="8">
        <v>44938</v>
      </c>
      <c r="F54" s="7" t="s">
        <v>377</v>
      </c>
    </row>
    <row r="55" spans="1:6" x14ac:dyDescent="0.25">
      <c r="A55" s="15">
        <v>54</v>
      </c>
      <c r="B55" s="10" t="s">
        <v>54</v>
      </c>
      <c r="C55" s="2" t="s">
        <v>379</v>
      </c>
      <c r="D55" s="17">
        <f>1034767.42</f>
        <v>1034767.42</v>
      </c>
      <c r="E55" s="8">
        <v>44938</v>
      </c>
      <c r="F55" s="7" t="s">
        <v>377</v>
      </c>
    </row>
    <row r="56" spans="1:6" x14ac:dyDescent="0.25">
      <c r="A56" s="15">
        <v>55</v>
      </c>
      <c r="B56" s="10" t="s">
        <v>55</v>
      </c>
      <c r="C56" s="2" t="s">
        <v>379</v>
      </c>
      <c r="D56" s="17">
        <f>28455.65+792366.36+15944.66</f>
        <v>836766.67</v>
      </c>
      <c r="E56" s="8">
        <v>44938</v>
      </c>
      <c r="F56" s="7" t="s">
        <v>377</v>
      </c>
    </row>
    <row r="57" spans="1:6" x14ac:dyDescent="0.25">
      <c r="A57" s="15">
        <v>56</v>
      </c>
      <c r="B57" s="10" t="s">
        <v>56</v>
      </c>
      <c r="C57" s="2" t="s">
        <v>379</v>
      </c>
      <c r="D57" s="17">
        <f>68020.46+585818.29</f>
        <v>653838.75</v>
      </c>
      <c r="E57" s="8">
        <v>44938</v>
      </c>
      <c r="F57" s="7" t="s">
        <v>377</v>
      </c>
    </row>
    <row r="58" spans="1:6" x14ac:dyDescent="0.25">
      <c r="A58" s="15">
        <v>57</v>
      </c>
      <c r="B58" s="10" t="s">
        <v>57</v>
      </c>
      <c r="C58" s="2" t="s">
        <v>379</v>
      </c>
      <c r="D58" s="17">
        <f>57264.7</f>
        <v>57264.7</v>
      </c>
      <c r="E58" s="8">
        <v>44938</v>
      </c>
      <c r="F58" s="7" t="s">
        <v>377</v>
      </c>
    </row>
    <row r="59" spans="1:6" x14ac:dyDescent="0.25">
      <c r="A59" s="15">
        <v>58</v>
      </c>
      <c r="B59" s="10" t="s">
        <v>58</v>
      </c>
      <c r="C59" s="2" t="s">
        <v>379</v>
      </c>
      <c r="D59" s="17">
        <f>44885.47+262090.25</f>
        <v>306975.71999999997</v>
      </c>
      <c r="E59" s="8">
        <v>44938</v>
      </c>
      <c r="F59" s="7" t="s">
        <v>377</v>
      </c>
    </row>
    <row r="60" spans="1:6" x14ac:dyDescent="0.25">
      <c r="A60" s="15">
        <v>59</v>
      </c>
      <c r="B60" s="10" t="s">
        <v>59</v>
      </c>
      <c r="C60" s="2" t="s">
        <v>379</v>
      </c>
      <c r="D60" s="17">
        <f>58651.27+855334.33</f>
        <v>913985.6</v>
      </c>
      <c r="E60" s="8">
        <v>44938</v>
      </c>
      <c r="F60" s="7" t="s">
        <v>377</v>
      </c>
    </row>
    <row r="61" spans="1:6" x14ac:dyDescent="0.25">
      <c r="A61" s="15">
        <v>60</v>
      </c>
      <c r="B61" s="10" t="s">
        <v>60</v>
      </c>
      <c r="C61" s="11" t="s">
        <v>379</v>
      </c>
      <c r="D61" s="17">
        <f>70510.46+21215.7</f>
        <v>91726.16</v>
      </c>
      <c r="E61" s="8">
        <v>44938</v>
      </c>
      <c r="F61" s="7" t="s">
        <v>377</v>
      </c>
    </row>
    <row r="62" spans="1:6" x14ac:dyDescent="0.25">
      <c r="A62" s="15">
        <v>61</v>
      </c>
      <c r="B62" s="10" t="s">
        <v>61</v>
      </c>
      <c r="C62" s="2" t="s">
        <v>379</v>
      </c>
      <c r="D62" s="17">
        <f>16990.46+327536.82</f>
        <v>344527.28</v>
      </c>
      <c r="E62" s="8">
        <v>44938</v>
      </c>
      <c r="F62" s="7" t="s">
        <v>377</v>
      </c>
    </row>
    <row r="63" spans="1:6" x14ac:dyDescent="0.25">
      <c r="A63" s="15">
        <v>62</v>
      </c>
      <c r="B63" s="10" t="s">
        <v>62</v>
      </c>
      <c r="C63" s="2" t="s">
        <v>379</v>
      </c>
      <c r="D63" s="17">
        <f>53391.17+82432.92</f>
        <v>135824.09</v>
      </c>
      <c r="E63" s="8">
        <v>44938</v>
      </c>
      <c r="F63" s="7" t="s">
        <v>377</v>
      </c>
    </row>
    <row r="64" spans="1:6" x14ac:dyDescent="0.25">
      <c r="A64" s="15">
        <v>63</v>
      </c>
      <c r="B64" s="10" t="s">
        <v>63</v>
      </c>
      <c r="C64" s="2" t="s">
        <v>379</v>
      </c>
      <c r="D64" s="17">
        <f>262389.38</f>
        <v>262389.38</v>
      </c>
      <c r="E64" s="8">
        <v>44938</v>
      </c>
      <c r="F64" s="7" t="s">
        <v>377</v>
      </c>
    </row>
    <row r="65" spans="1:6" x14ac:dyDescent="0.25">
      <c r="A65" s="15">
        <v>64</v>
      </c>
      <c r="B65" s="10" t="s">
        <v>64</v>
      </c>
      <c r="C65" s="2" t="s">
        <v>379</v>
      </c>
      <c r="D65" s="17">
        <f>17178.29+608702.88</f>
        <v>625881.17000000004</v>
      </c>
      <c r="E65" s="8">
        <v>44938</v>
      </c>
      <c r="F65" s="7" t="s">
        <v>377</v>
      </c>
    </row>
    <row r="66" spans="1:6" x14ac:dyDescent="0.25">
      <c r="A66" s="15">
        <v>65</v>
      </c>
      <c r="B66" s="10" t="s">
        <v>65</v>
      </c>
      <c r="C66" s="2" t="s">
        <v>379</v>
      </c>
      <c r="D66" s="17">
        <f>755706.59</f>
        <v>755706.59</v>
      </c>
      <c r="E66" s="8">
        <v>44938</v>
      </c>
      <c r="F66" s="7" t="s">
        <v>377</v>
      </c>
    </row>
    <row r="67" spans="1:6" ht="37.5" x14ac:dyDescent="0.25">
      <c r="A67" s="15">
        <v>66</v>
      </c>
      <c r="B67" s="10" t="s">
        <v>66</v>
      </c>
      <c r="C67" s="2" t="s">
        <v>379</v>
      </c>
      <c r="D67" s="17">
        <f>823454.34</f>
        <v>823454.34</v>
      </c>
      <c r="E67" s="8">
        <v>44938</v>
      </c>
      <c r="F67" s="7" t="s">
        <v>377</v>
      </c>
    </row>
    <row r="68" spans="1:6" x14ac:dyDescent="0.25">
      <c r="A68" s="15">
        <v>67</v>
      </c>
      <c r="B68" s="10" t="s">
        <v>67</v>
      </c>
      <c r="C68" s="2" t="s">
        <v>379</v>
      </c>
      <c r="D68" s="17">
        <f>2187793.93+28760.48</f>
        <v>2216554.41</v>
      </c>
      <c r="E68" s="8">
        <v>44938</v>
      </c>
      <c r="F68" s="7" t="s">
        <v>377</v>
      </c>
    </row>
    <row r="69" spans="1:6" x14ac:dyDescent="0.25">
      <c r="A69" s="15">
        <v>68</v>
      </c>
      <c r="B69" s="10" t="s">
        <v>68</v>
      </c>
      <c r="C69" s="2" t="s">
        <v>379</v>
      </c>
      <c r="D69" s="17">
        <f>606926.15</f>
        <v>606926.15</v>
      </c>
      <c r="E69" s="8">
        <v>44938</v>
      </c>
      <c r="F69" s="7" t="s">
        <v>377</v>
      </c>
    </row>
    <row r="70" spans="1:6" x14ac:dyDescent="0.25">
      <c r="A70" s="15">
        <v>69</v>
      </c>
      <c r="B70" s="10" t="s">
        <v>69</v>
      </c>
      <c r="C70" s="2" t="s">
        <v>379</v>
      </c>
      <c r="D70" s="17">
        <f>17146.57</f>
        <v>17146.57</v>
      </c>
      <c r="E70" s="8">
        <v>44938</v>
      </c>
      <c r="F70" s="7" t="s">
        <v>377</v>
      </c>
    </row>
    <row r="71" spans="1:6" ht="37.5" x14ac:dyDescent="0.25">
      <c r="A71" s="15">
        <v>70</v>
      </c>
      <c r="B71" s="10" t="s">
        <v>70</v>
      </c>
      <c r="C71" s="2" t="s">
        <v>379</v>
      </c>
      <c r="D71" s="17">
        <f>547134.79</f>
        <v>547134.79</v>
      </c>
      <c r="E71" s="8">
        <v>44938</v>
      </c>
      <c r="F71" s="7" t="s">
        <v>377</v>
      </c>
    </row>
    <row r="72" spans="1:6" x14ac:dyDescent="0.25">
      <c r="A72" s="15">
        <v>71</v>
      </c>
      <c r="B72" s="10" t="s">
        <v>71</v>
      </c>
      <c r="C72" s="2" t="s">
        <v>379</v>
      </c>
      <c r="D72" s="17">
        <f>181185.06+941862.85</f>
        <v>1123047.9099999999</v>
      </c>
      <c r="E72" s="8">
        <v>44938</v>
      </c>
      <c r="F72" s="7" t="s">
        <v>377</v>
      </c>
    </row>
    <row r="73" spans="1:6" x14ac:dyDescent="0.25">
      <c r="A73" s="15">
        <v>72</v>
      </c>
      <c r="B73" s="10" t="s">
        <v>72</v>
      </c>
      <c r="C73" s="2" t="s">
        <v>379</v>
      </c>
      <c r="D73" s="17">
        <f>127782.36+9791845.77</f>
        <v>9919628.129999999</v>
      </c>
      <c r="E73" s="8">
        <v>44938</v>
      </c>
      <c r="F73" s="7" t="s">
        <v>377</v>
      </c>
    </row>
    <row r="74" spans="1:6" x14ac:dyDescent="0.25">
      <c r="A74" s="15">
        <v>73</v>
      </c>
      <c r="B74" s="10" t="s">
        <v>73</v>
      </c>
      <c r="C74" s="2" t="s">
        <v>379</v>
      </c>
      <c r="D74" s="17">
        <f>301594.13</f>
        <v>301594.13</v>
      </c>
      <c r="E74" s="8">
        <v>44938</v>
      </c>
      <c r="F74" s="7" t="s">
        <v>377</v>
      </c>
    </row>
    <row r="75" spans="1:6" x14ac:dyDescent="0.25">
      <c r="A75" s="15">
        <v>74</v>
      </c>
      <c r="B75" s="10" t="s">
        <v>74</v>
      </c>
      <c r="C75" s="2" t="s">
        <v>379</v>
      </c>
      <c r="D75" s="17">
        <f>151080.42</f>
        <v>151080.42000000001</v>
      </c>
      <c r="E75" s="8">
        <v>44938</v>
      </c>
      <c r="F75" s="7" t="s">
        <v>377</v>
      </c>
    </row>
    <row r="76" spans="1:6" x14ac:dyDescent="0.25">
      <c r="A76" s="15">
        <v>75</v>
      </c>
      <c r="B76" s="10" t="s">
        <v>75</v>
      </c>
      <c r="C76" s="11" t="s">
        <v>379</v>
      </c>
      <c r="D76" s="17">
        <f>12095.39</f>
        <v>12095.39</v>
      </c>
      <c r="E76" s="8">
        <v>44938</v>
      </c>
      <c r="F76" s="7" t="s">
        <v>377</v>
      </c>
    </row>
    <row r="77" spans="1:6" x14ac:dyDescent="0.25">
      <c r="A77" s="15">
        <v>76</v>
      </c>
      <c r="B77" s="10" t="s">
        <v>76</v>
      </c>
      <c r="C77" s="2" t="s">
        <v>379</v>
      </c>
      <c r="D77" s="17">
        <f>133701.82+86914.88+141306.25</f>
        <v>361922.95</v>
      </c>
      <c r="E77" s="8">
        <v>44938</v>
      </c>
      <c r="F77" s="7" t="s">
        <v>377</v>
      </c>
    </row>
    <row r="78" spans="1:6" x14ac:dyDescent="0.25">
      <c r="A78" s="15">
        <v>77</v>
      </c>
      <c r="B78" s="10" t="s">
        <v>77</v>
      </c>
      <c r="C78" s="2" t="s">
        <v>379</v>
      </c>
      <c r="D78" s="17">
        <f>49222.03+2104051.27</f>
        <v>2153273.2999999998</v>
      </c>
      <c r="E78" s="8">
        <v>44938</v>
      </c>
      <c r="F78" s="7" t="s">
        <v>377</v>
      </c>
    </row>
    <row r="79" spans="1:6" ht="37.5" x14ac:dyDescent="0.25">
      <c r="A79" s="15">
        <v>78</v>
      </c>
      <c r="B79" s="10" t="s">
        <v>78</v>
      </c>
      <c r="C79" s="2" t="s">
        <v>379</v>
      </c>
      <c r="D79" s="17">
        <f>85477.74+5506250.1</f>
        <v>5591727.8399999999</v>
      </c>
      <c r="E79" s="8">
        <v>44938</v>
      </c>
      <c r="F79" s="7" t="s">
        <v>377</v>
      </c>
    </row>
    <row r="80" spans="1:6" x14ac:dyDescent="0.25">
      <c r="A80" s="15">
        <v>79</v>
      </c>
      <c r="B80" s="10" t="s">
        <v>79</v>
      </c>
      <c r="C80" s="2" t="s">
        <v>379</v>
      </c>
      <c r="D80" s="17">
        <f>120253.79</f>
        <v>120253.79</v>
      </c>
      <c r="E80" s="8">
        <v>44938</v>
      </c>
      <c r="F80" s="7" t="s">
        <v>377</v>
      </c>
    </row>
    <row r="81" spans="1:6" ht="37.5" x14ac:dyDescent="0.25">
      <c r="A81" s="15">
        <v>80</v>
      </c>
      <c r="B81" s="10" t="s">
        <v>80</v>
      </c>
      <c r="C81" s="2" t="s">
        <v>379</v>
      </c>
      <c r="D81" s="17">
        <f>1853224.6+233179.79+10466.04</f>
        <v>2096870.4300000002</v>
      </c>
      <c r="E81" s="8">
        <v>44938</v>
      </c>
      <c r="F81" s="7" t="s">
        <v>377</v>
      </c>
    </row>
    <row r="82" spans="1:6" x14ac:dyDescent="0.25">
      <c r="A82" s="15">
        <v>81</v>
      </c>
      <c r="B82" s="10" t="s">
        <v>81</v>
      </c>
      <c r="C82" s="2" t="s">
        <v>379</v>
      </c>
      <c r="D82" s="17">
        <f>149551.3+255566.35</f>
        <v>405117.65</v>
      </c>
      <c r="E82" s="8">
        <v>44938</v>
      </c>
      <c r="F82" s="7" t="s">
        <v>377</v>
      </c>
    </row>
    <row r="83" spans="1:6" x14ac:dyDescent="0.25">
      <c r="A83" s="15">
        <v>82</v>
      </c>
      <c r="B83" s="10" t="s">
        <v>82</v>
      </c>
      <c r="C83" s="2" t="s">
        <v>379</v>
      </c>
      <c r="D83" s="17">
        <f>27196.51</f>
        <v>27196.51</v>
      </c>
      <c r="E83" s="8">
        <v>44938</v>
      </c>
      <c r="F83" s="7" t="s">
        <v>377</v>
      </c>
    </row>
    <row r="84" spans="1:6" x14ac:dyDescent="0.25">
      <c r="A84" s="15">
        <v>83</v>
      </c>
      <c r="B84" s="10" t="s">
        <v>83</v>
      </c>
      <c r="C84" s="2" t="s">
        <v>379</v>
      </c>
      <c r="D84" s="17">
        <f>67328.16</f>
        <v>67328.160000000003</v>
      </c>
      <c r="E84" s="8">
        <v>44938</v>
      </c>
      <c r="F84" s="7" t="s">
        <v>377</v>
      </c>
    </row>
    <row r="85" spans="1:6" x14ac:dyDescent="0.25">
      <c r="A85" s="15">
        <v>84</v>
      </c>
      <c r="B85" s="10" t="s">
        <v>84</v>
      </c>
      <c r="C85" s="2" t="s">
        <v>379</v>
      </c>
      <c r="D85" s="17">
        <f>149223.82</f>
        <v>149223.82</v>
      </c>
      <c r="E85" s="8">
        <v>44938</v>
      </c>
      <c r="F85" s="7" t="s">
        <v>377</v>
      </c>
    </row>
    <row r="86" spans="1:6" x14ac:dyDescent="0.25">
      <c r="A86" s="15">
        <v>85</v>
      </c>
      <c r="B86" s="10" t="s">
        <v>85</v>
      </c>
      <c r="C86" s="2" t="s">
        <v>379</v>
      </c>
      <c r="D86" s="17">
        <f>29552.17</f>
        <v>29552.17</v>
      </c>
      <c r="E86" s="8">
        <v>44938</v>
      </c>
      <c r="F86" s="7" t="s">
        <v>377</v>
      </c>
    </row>
    <row r="87" spans="1:6" x14ac:dyDescent="0.25">
      <c r="A87" s="15">
        <v>86</v>
      </c>
      <c r="B87" s="10" t="s">
        <v>86</v>
      </c>
      <c r="C87" s="2" t="s">
        <v>379</v>
      </c>
      <c r="D87" s="17">
        <f>43499.51+199907.77</f>
        <v>243407.28</v>
      </c>
      <c r="E87" s="8">
        <v>44938</v>
      </c>
      <c r="F87" s="7" t="s">
        <v>377</v>
      </c>
    </row>
    <row r="88" spans="1:6" x14ac:dyDescent="0.25">
      <c r="A88" s="15">
        <v>87</v>
      </c>
      <c r="B88" s="10" t="s">
        <v>87</v>
      </c>
      <c r="C88" s="11" t="s">
        <v>379</v>
      </c>
      <c r="D88" s="17">
        <f>2287818.1</f>
        <v>2287818.1</v>
      </c>
      <c r="E88" s="8">
        <v>44938</v>
      </c>
      <c r="F88" s="7" t="s">
        <v>377</v>
      </c>
    </row>
    <row r="89" spans="1:6" x14ac:dyDescent="0.25">
      <c r="A89" s="15">
        <v>88</v>
      </c>
      <c r="B89" s="10" t="s">
        <v>88</v>
      </c>
      <c r="C89" s="2" t="s">
        <v>379</v>
      </c>
      <c r="D89" s="17">
        <f>129330.44</f>
        <v>129330.44</v>
      </c>
      <c r="E89" s="8">
        <v>44938</v>
      </c>
      <c r="F89" s="7" t="s">
        <v>377</v>
      </c>
    </row>
    <row r="90" spans="1:6" x14ac:dyDescent="0.25">
      <c r="A90" s="15">
        <v>89</v>
      </c>
      <c r="B90" s="10" t="s">
        <v>89</v>
      </c>
      <c r="C90" s="2" t="s">
        <v>379</v>
      </c>
      <c r="D90" s="17">
        <f>3860778.6</f>
        <v>3860778.6</v>
      </c>
      <c r="E90" s="8">
        <v>44938</v>
      </c>
      <c r="F90" s="7" t="s">
        <v>377</v>
      </c>
    </row>
    <row r="91" spans="1:6" x14ac:dyDescent="0.25">
      <c r="A91" s="15">
        <v>90</v>
      </c>
      <c r="B91" s="10" t="s">
        <v>90</v>
      </c>
      <c r="C91" s="2" t="s">
        <v>379</v>
      </c>
      <c r="D91" s="17">
        <f>28296.37+138253.42</f>
        <v>166549.79</v>
      </c>
      <c r="E91" s="8">
        <v>44938</v>
      </c>
      <c r="F91" s="7" t="s">
        <v>377</v>
      </c>
    </row>
    <row r="92" spans="1:6" x14ac:dyDescent="0.25">
      <c r="A92" s="15">
        <v>91</v>
      </c>
      <c r="B92" s="10" t="s">
        <v>91</v>
      </c>
      <c r="C92" s="2" t="s">
        <v>379</v>
      </c>
      <c r="D92" s="17">
        <f>1066102.61+891316.31</f>
        <v>1957418.9200000002</v>
      </c>
      <c r="E92" s="8">
        <v>44938</v>
      </c>
      <c r="F92" s="7" t="s">
        <v>377</v>
      </c>
    </row>
    <row r="93" spans="1:6" x14ac:dyDescent="0.25">
      <c r="A93" s="15">
        <v>92</v>
      </c>
      <c r="B93" s="10" t="s">
        <v>92</v>
      </c>
      <c r="C93" s="2" t="s">
        <v>379</v>
      </c>
      <c r="D93" s="17">
        <f>40041.2</f>
        <v>40041.199999999997</v>
      </c>
      <c r="E93" s="8">
        <v>44938</v>
      </c>
      <c r="F93" s="7" t="s">
        <v>377</v>
      </c>
    </row>
    <row r="94" spans="1:6" x14ac:dyDescent="0.25">
      <c r="A94" s="15">
        <v>93</v>
      </c>
      <c r="B94" s="10" t="s">
        <v>93</v>
      </c>
      <c r="C94" s="11" t="s">
        <v>379</v>
      </c>
      <c r="D94" s="17">
        <f>172559.2</f>
        <v>172559.2</v>
      </c>
      <c r="E94" s="8">
        <v>44938</v>
      </c>
      <c r="F94" s="7" t="s">
        <v>377</v>
      </c>
    </row>
    <row r="95" spans="1:6" x14ac:dyDescent="0.25">
      <c r="A95" s="15">
        <v>94</v>
      </c>
      <c r="B95" s="10" t="s">
        <v>94</v>
      </c>
      <c r="C95" s="2" t="s">
        <v>379</v>
      </c>
      <c r="D95" s="17">
        <f>306025.25</f>
        <v>306025.25</v>
      </c>
      <c r="E95" s="8">
        <v>44938</v>
      </c>
      <c r="F95" s="7" t="s">
        <v>377</v>
      </c>
    </row>
    <row r="96" spans="1:6" x14ac:dyDescent="0.25">
      <c r="A96" s="15">
        <v>95</v>
      </c>
      <c r="B96" s="10" t="s">
        <v>95</v>
      </c>
      <c r="C96" s="2" t="s">
        <v>379</v>
      </c>
      <c r="D96" s="17">
        <f>76404.61</f>
        <v>76404.61</v>
      </c>
      <c r="E96" s="8">
        <v>44938</v>
      </c>
      <c r="F96" s="7" t="s">
        <v>377</v>
      </c>
    </row>
    <row r="97" spans="1:6" ht="37.5" x14ac:dyDescent="0.25">
      <c r="A97" s="15">
        <v>96</v>
      </c>
      <c r="B97" s="10" t="s">
        <v>96</v>
      </c>
      <c r="C97" s="2" t="s">
        <v>378</v>
      </c>
      <c r="D97" s="17">
        <f>410060.92+952935.94</f>
        <v>1362996.8599999999</v>
      </c>
      <c r="E97" s="8">
        <v>44938</v>
      </c>
      <c r="F97" s="7" t="s">
        <v>377</v>
      </c>
    </row>
    <row r="98" spans="1:6" x14ac:dyDescent="0.25">
      <c r="A98" s="15">
        <v>97</v>
      </c>
      <c r="B98" s="10" t="s">
        <v>97</v>
      </c>
      <c r="C98" s="2" t="s">
        <v>379</v>
      </c>
      <c r="D98" s="17">
        <f>76297.48+137747.82</f>
        <v>214045.3</v>
      </c>
      <c r="E98" s="8">
        <v>44938</v>
      </c>
      <c r="F98" s="7" t="s">
        <v>377</v>
      </c>
    </row>
    <row r="99" spans="1:6" x14ac:dyDescent="0.25">
      <c r="A99" s="15">
        <v>98</v>
      </c>
      <c r="B99" s="10" t="s">
        <v>98</v>
      </c>
      <c r="C99" s="2" t="s">
        <v>379</v>
      </c>
      <c r="D99" s="17">
        <f>111249.31</f>
        <v>111249.31</v>
      </c>
      <c r="E99" s="8">
        <v>44938</v>
      </c>
      <c r="F99" s="7" t="s">
        <v>377</v>
      </c>
    </row>
    <row r="100" spans="1:6" x14ac:dyDescent="0.25">
      <c r="A100" s="15">
        <v>99</v>
      </c>
      <c r="B100" s="10" t="s">
        <v>99</v>
      </c>
      <c r="C100" s="2" t="s">
        <v>379</v>
      </c>
      <c r="D100" s="17">
        <f>20575.33</f>
        <v>20575.330000000002</v>
      </c>
      <c r="E100" s="8">
        <v>44938</v>
      </c>
      <c r="F100" s="7" t="s">
        <v>377</v>
      </c>
    </row>
    <row r="101" spans="1:6" x14ac:dyDescent="0.25">
      <c r="A101" s="15">
        <v>100</v>
      </c>
      <c r="B101" s="10" t="s">
        <v>100</v>
      </c>
      <c r="C101" s="2" t="s">
        <v>379</v>
      </c>
      <c r="D101" s="17">
        <f>359429.66</f>
        <v>359429.66</v>
      </c>
      <c r="E101" s="8">
        <v>44938</v>
      </c>
      <c r="F101" s="7" t="s">
        <v>377</v>
      </c>
    </row>
    <row r="102" spans="1:6" x14ac:dyDescent="0.25">
      <c r="A102" s="15">
        <v>101</v>
      </c>
      <c r="B102" s="10" t="s">
        <v>101</v>
      </c>
      <c r="C102" s="2" t="s">
        <v>379</v>
      </c>
      <c r="D102" s="17">
        <f>62313.71</f>
        <v>62313.71</v>
      </c>
      <c r="E102" s="8">
        <v>44938</v>
      </c>
      <c r="F102" s="7" t="s">
        <v>377</v>
      </c>
    </row>
    <row r="103" spans="1:6" ht="37.5" x14ac:dyDescent="0.25">
      <c r="A103" s="15">
        <v>102</v>
      </c>
      <c r="B103" s="10" t="s">
        <v>102</v>
      </c>
      <c r="C103" s="2" t="s">
        <v>378</v>
      </c>
      <c r="D103" s="17">
        <f>697223.02</f>
        <v>697223.02</v>
      </c>
      <c r="E103" s="8">
        <v>44938</v>
      </c>
      <c r="F103" s="7" t="s">
        <v>377</v>
      </c>
    </row>
    <row r="104" spans="1:6" x14ac:dyDescent="0.25">
      <c r="A104" s="15">
        <v>103</v>
      </c>
      <c r="B104" s="10" t="s">
        <v>103</v>
      </c>
      <c r="C104" s="2" t="s">
        <v>379</v>
      </c>
      <c r="D104" s="17">
        <f>4557049.56</f>
        <v>4557049.5599999996</v>
      </c>
      <c r="E104" s="8">
        <v>44938</v>
      </c>
      <c r="F104" s="7" t="s">
        <v>377</v>
      </c>
    </row>
    <row r="105" spans="1:6" ht="37.5" x14ac:dyDescent="0.25">
      <c r="A105" s="15">
        <v>104</v>
      </c>
      <c r="B105" s="10" t="s">
        <v>104</v>
      </c>
      <c r="C105" s="2" t="s">
        <v>378</v>
      </c>
      <c r="D105" s="17">
        <f>190223+6501186.2</f>
        <v>6691409.2000000002</v>
      </c>
      <c r="E105" s="8">
        <v>44938</v>
      </c>
      <c r="F105" s="7" t="s">
        <v>377</v>
      </c>
    </row>
    <row r="106" spans="1:6" ht="37.5" x14ac:dyDescent="0.25">
      <c r="A106" s="15">
        <v>105</v>
      </c>
      <c r="B106" s="10" t="s">
        <v>105</v>
      </c>
      <c r="C106" s="11" t="s">
        <v>378</v>
      </c>
      <c r="D106" s="17">
        <f>59167021.17+13458474.36+24584170.67</f>
        <v>97209666.200000003</v>
      </c>
      <c r="E106" s="8">
        <v>44938</v>
      </c>
      <c r="F106" s="7" t="s">
        <v>377</v>
      </c>
    </row>
    <row r="107" spans="1:6" x14ac:dyDescent="0.25">
      <c r="A107" s="15">
        <v>106</v>
      </c>
      <c r="B107" s="10" t="s">
        <v>106</v>
      </c>
      <c r="C107" s="2" t="s">
        <v>379</v>
      </c>
      <c r="D107" s="17">
        <f>627617.53</f>
        <v>627617.53</v>
      </c>
      <c r="E107" s="8">
        <v>44938</v>
      </c>
      <c r="F107" s="7" t="s">
        <v>377</v>
      </c>
    </row>
    <row r="108" spans="1:6" x14ac:dyDescent="0.25">
      <c r="A108" s="15">
        <v>107</v>
      </c>
      <c r="B108" s="10" t="s">
        <v>107</v>
      </c>
      <c r="C108" s="2" t="s">
        <v>379</v>
      </c>
      <c r="D108" s="17">
        <f>14487.05+139913.89+4309663.37</f>
        <v>4464064.3100000005</v>
      </c>
      <c r="E108" s="8">
        <v>44938</v>
      </c>
      <c r="F108" s="7" t="s">
        <v>377</v>
      </c>
    </row>
    <row r="109" spans="1:6" ht="37.5" x14ac:dyDescent="0.25">
      <c r="A109" s="15">
        <v>108</v>
      </c>
      <c r="B109" s="10" t="s">
        <v>108</v>
      </c>
      <c r="C109" s="2" t="s">
        <v>378</v>
      </c>
      <c r="D109" s="17">
        <f>685987.86+4738865.73</f>
        <v>5424853.5900000008</v>
      </c>
      <c r="E109" s="8">
        <v>44938</v>
      </c>
      <c r="F109" s="7" t="s">
        <v>377</v>
      </c>
    </row>
    <row r="110" spans="1:6" x14ac:dyDescent="0.25">
      <c r="A110" s="15">
        <v>109</v>
      </c>
      <c r="B110" s="10" t="s">
        <v>109</v>
      </c>
      <c r="C110" s="2" t="s">
        <v>379</v>
      </c>
      <c r="D110" s="17">
        <f>3825754.78</f>
        <v>3825754.78</v>
      </c>
      <c r="E110" s="8">
        <v>44938</v>
      </c>
      <c r="F110" s="7" t="s">
        <v>377</v>
      </c>
    </row>
    <row r="111" spans="1:6" x14ac:dyDescent="0.25">
      <c r="A111" s="15">
        <v>110</v>
      </c>
      <c r="B111" s="10" t="s">
        <v>110</v>
      </c>
      <c r="C111" s="2" t="s">
        <v>379</v>
      </c>
      <c r="D111" s="17">
        <f>802389.57</f>
        <v>802389.57</v>
      </c>
      <c r="E111" s="8">
        <v>44938</v>
      </c>
      <c r="F111" s="7" t="s">
        <v>377</v>
      </c>
    </row>
    <row r="112" spans="1:6" x14ac:dyDescent="0.25">
      <c r="A112" s="15">
        <v>111</v>
      </c>
      <c r="B112" s="10" t="s">
        <v>111</v>
      </c>
      <c r="C112" s="2" t="s">
        <v>379</v>
      </c>
      <c r="D112" s="17">
        <f>398829.47</f>
        <v>398829.47</v>
      </c>
      <c r="E112" s="8">
        <v>44938</v>
      </c>
      <c r="F112" s="7" t="s">
        <v>377</v>
      </c>
    </row>
    <row r="113" spans="1:6" x14ac:dyDescent="0.25">
      <c r="A113" s="15">
        <v>112</v>
      </c>
      <c r="B113" s="10" t="s">
        <v>112</v>
      </c>
      <c r="C113" s="11" t="s">
        <v>379</v>
      </c>
      <c r="D113" s="17">
        <f>940680.83</f>
        <v>940680.83</v>
      </c>
      <c r="E113" s="8">
        <v>44938</v>
      </c>
      <c r="F113" s="7" t="s">
        <v>377</v>
      </c>
    </row>
    <row r="114" spans="1:6" x14ac:dyDescent="0.25">
      <c r="A114" s="15">
        <v>113</v>
      </c>
      <c r="B114" s="10" t="s">
        <v>113</v>
      </c>
      <c r="C114" s="2" t="s">
        <v>379</v>
      </c>
      <c r="D114" s="17">
        <f>666119.88</f>
        <v>666119.88</v>
      </c>
      <c r="E114" s="8">
        <v>44938</v>
      </c>
      <c r="F114" s="7" t="s">
        <v>377</v>
      </c>
    </row>
    <row r="115" spans="1:6" x14ac:dyDescent="0.25">
      <c r="A115" s="15">
        <v>114</v>
      </c>
      <c r="B115" s="10" t="s">
        <v>114</v>
      </c>
      <c r="C115" s="2" t="s">
        <v>379</v>
      </c>
      <c r="D115" s="17">
        <f>8480004.71</f>
        <v>8480004.7100000009</v>
      </c>
      <c r="E115" s="8">
        <v>44938</v>
      </c>
      <c r="F115" s="7" t="s">
        <v>377</v>
      </c>
    </row>
    <row r="116" spans="1:6" ht="37.5" x14ac:dyDescent="0.25">
      <c r="A116" s="15">
        <v>115</v>
      </c>
      <c r="B116" s="10" t="s">
        <v>115</v>
      </c>
      <c r="C116" s="2" t="s">
        <v>378</v>
      </c>
      <c r="D116" s="17">
        <f>34830738.03+1220518.44+1457641.1+3966512.07+14727435.85</f>
        <v>56202845.490000002</v>
      </c>
      <c r="E116" s="8">
        <v>44938</v>
      </c>
      <c r="F116" s="7" t="s">
        <v>377</v>
      </c>
    </row>
    <row r="117" spans="1:6" x14ac:dyDescent="0.25">
      <c r="A117" s="15">
        <v>116</v>
      </c>
      <c r="B117" s="10" t="s">
        <v>116</v>
      </c>
      <c r="C117" s="2" t="s">
        <v>379</v>
      </c>
      <c r="D117" s="17">
        <f>4813877.78</f>
        <v>4813877.78</v>
      </c>
      <c r="E117" s="8">
        <v>44938</v>
      </c>
      <c r="F117" s="7" t="s">
        <v>377</v>
      </c>
    </row>
    <row r="118" spans="1:6" x14ac:dyDescent="0.25">
      <c r="A118" s="15">
        <v>117</v>
      </c>
      <c r="B118" s="10" t="s">
        <v>117</v>
      </c>
      <c r="C118" s="2" t="s">
        <v>379</v>
      </c>
      <c r="D118" s="17">
        <f>131859.84</f>
        <v>131859.84</v>
      </c>
      <c r="E118" s="8">
        <v>44938</v>
      </c>
      <c r="F118" s="7" t="s">
        <v>377</v>
      </c>
    </row>
    <row r="119" spans="1:6" x14ac:dyDescent="0.25">
      <c r="A119" s="15">
        <v>118</v>
      </c>
      <c r="B119" s="10" t="s">
        <v>118</v>
      </c>
      <c r="C119" s="2" t="s">
        <v>379</v>
      </c>
      <c r="D119" s="17">
        <f>2366773.31+2600055.6+88943+56538.1</f>
        <v>5112310.01</v>
      </c>
      <c r="E119" s="8">
        <v>44938</v>
      </c>
      <c r="F119" s="7" t="s">
        <v>377</v>
      </c>
    </row>
    <row r="120" spans="1:6" x14ac:dyDescent="0.25">
      <c r="A120" s="15">
        <v>119</v>
      </c>
      <c r="B120" s="10" t="s">
        <v>119</v>
      </c>
      <c r="C120" s="2" t="s">
        <v>379</v>
      </c>
      <c r="D120" s="17">
        <f>90767.12</f>
        <v>90767.12</v>
      </c>
      <c r="E120" s="8">
        <v>44938</v>
      </c>
      <c r="F120" s="7" t="s">
        <v>377</v>
      </c>
    </row>
    <row r="121" spans="1:6" x14ac:dyDescent="0.25">
      <c r="A121" s="15">
        <v>120</v>
      </c>
      <c r="B121" s="10" t="s">
        <v>120</v>
      </c>
      <c r="C121" s="2" t="s">
        <v>379</v>
      </c>
      <c r="D121" s="17">
        <f>62318.36</f>
        <v>62318.36</v>
      </c>
      <c r="E121" s="8">
        <v>44938</v>
      </c>
      <c r="F121" s="7" t="s">
        <v>377</v>
      </c>
    </row>
    <row r="122" spans="1:6" x14ac:dyDescent="0.25">
      <c r="A122" s="15">
        <v>121</v>
      </c>
      <c r="B122" s="10" t="s">
        <v>121</v>
      </c>
      <c r="C122" s="2" t="s">
        <v>379</v>
      </c>
      <c r="D122" s="17">
        <f>598968.2</f>
        <v>598968.19999999995</v>
      </c>
      <c r="E122" s="8">
        <v>44938</v>
      </c>
      <c r="F122" s="7" t="s">
        <v>377</v>
      </c>
    </row>
    <row r="123" spans="1:6" x14ac:dyDescent="0.25">
      <c r="A123" s="15">
        <v>122</v>
      </c>
      <c r="B123" s="10" t="s">
        <v>122</v>
      </c>
      <c r="C123" s="2" t="s">
        <v>379</v>
      </c>
      <c r="D123" s="17">
        <f>697806.4</f>
        <v>697806.4</v>
      </c>
      <c r="E123" s="8">
        <v>44938</v>
      </c>
      <c r="F123" s="7" t="s">
        <v>377</v>
      </c>
    </row>
    <row r="124" spans="1:6" x14ac:dyDescent="0.25">
      <c r="A124" s="15">
        <v>123</v>
      </c>
      <c r="B124" s="10" t="s">
        <v>123</v>
      </c>
      <c r="C124" s="2" t="s">
        <v>379</v>
      </c>
      <c r="D124" s="17">
        <f>5614138.49+1961873.53</f>
        <v>7576012.0200000005</v>
      </c>
      <c r="E124" s="8">
        <v>44938</v>
      </c>
      <c r="F124" s="7" t="s">
        <v>377</v>
      </c>
    </row>
    <row r="125" spans="1:6" x14ac:dyDescent="0.25">
      <c r="A125" s="15">
        <v>124</v>
      </c>
      <c r="B125" s="10" t="s">
        <v>124</v>
      </c>
      <c r="C125" s="2" t="s">
        <v>379</v>
      </c>
      <c r="D125" s="17">
        <f>3730236.24</f>
        <v>3730236.24</v>
      </c>
      <c r="E125" s="8">
        <v>44938</v>
      </c>
      <c r="F125" s="7" t="s">
        <v>377</v>
      </c>
    </row>
    <row r="126" spans="1:6" x14ac:dyDescent="0.25">
      <c r="A126" s="15">
        <v>125</v>
      </c>
      <c r="B126" s="10" t="s">
        <v>125</v>
      </c>
      <c r="C126" s="11" t="s">
        <v>379</v>
      </c>
      <c r="D126" s="17">
        <f>612638.57</f>
        <v>612638.56999999995</v>
      </c>
      <c r="E126" s="8">
        <v>44938</v>
      </c>
      <c r="F126" s="7" t="s">
        <v>377</v>
      </c>
    </row>
    <row r="127" spans="1:6" x14ac:dyDescent="0.25">
      <c r="A127" s="15">
        <v>126</v>
      </c>
      <c r="B127" s="10" t="s">
        <v>126</v>
      </c>
      <c r="C127" s="2" t="s">
        <v>379</v>
      </c>
      <c r="D127" s="17">
        <f>246472.24+1143877.6</f>
        <v>1390349.84</v>
      </c>
      <c r="E127" s="8">
        <v>44938</v>
      </c>
      <c r="F127" s="7" t="s">
        <v>377</v>
      </c>
    </row>
    <row r="128" spans="1:6" x14ac:dyDescent="0.25">
      <c r="A128" s="15">
        <v>127</v>
      </c>
      <c r="B128" s="10" t="s">
        <v>127</v>
      </c>
      <c r="C128" s="2" t="s">
        <v>379</v>
      </c>
      <c r="D128" s="17">
        <f>65547.89+396502.66</f>
        <v>462050.55</v>
      </c>
      <c r="E128" s="8">
        <v>44938</v>
      </c>
      <c r="F128" s="7" t="s">
        <v>377</v>
      </c>
    </row>
    <row r="129" spans="1:6" x14ac:dyDescent="0.25">
      <c r="A129" s="15">
        <v>128</v>
      </c>
      <c r="B129" s="10" t="s">
        <v>128</v>
      </c>
      <c r="C129" s="2" t="s">
        <v>379</v>
      </c>
      <c r="D129" s="17">
        <f>694419.61</f>
        <v>694419.61</v>
      </c>
      <c r="E129" s="8">
        <v>44938</v>
      </c>
      <c r="F129" s="7" t="s">
        <v>377</v>
      </c>
    </row>
    <row r="130" spans="1:6" x14ac:dyDescent="0.25">
      <c r="A130" s="15">
        <v>129</v>
      </c>
      <c r="B130" s="10" t="s">
        <v>129</v>
      </c>
      <c r="C130" s="2" t="s">
        <v>379</v>
      </c>
      <c r="D130" s="17">
        <f>187314.6</f>
        <v>187314.6</v>
      </c>
      <c r="E130" s="8">
        <v>44938</v>
      </c>
      <c r="F130" s="7" t="s">
        <v>377</v>
      </c>
    </row>
    <row r="131" spans="1:6" x14ac:dyDescent="0.25">
      <c r="A131" s="15">
        <v>130</v>
      </c>
      <c r="B131" s="10" t="s">
        <v>130</v>
      </c>
      <c r="C131" s="2" t="s">
        <v>379</v>
      </c>
      <c r="D131" s="17">
        <f>376836.12</f>
        <v>376836.12</v>
      </c>
      <c r="E131" s="8">
        <v>44938</v>
      </c>
      <c r="F131" s="7" t="s">
        <v>377</v>
      </c>
    </row>
    <row r="132" spans="1:6" x14ac:dyDescent="0.25">
      <c r="A132" s="15">
        <v>131</v>
      </c>
      <c r="B132" s="10" t="s">
        <v>131</v>
      </c>
      <c r="C132" s="2" t="s">
        <v>379</v>
      </c>
      <c r="D132" s="17">
        <f>809157.65</f>
        <v>809157.65</v>
      </c>
      <c r="E132" s="8">
        <v>44938</v>
      </c>
      <c r="F132" s="7" t="s">
        <v>377</v>
      </c>
    </row>
    <row r="133" spans="1:6" x14ac:dyDescent="0.25">
      <c r="A133" s="15">
        <v>132</v>
      </c>
      <c r="B133" s="10" t="s">
        <v>132</v>
      </c>
      <c r="C133" s="2" t="s">
        <v>379</v>
      </c>
      <c r="D133" s="17">
        <f>26014.94</f>
        <v>26014.94</v>
      </c>
      <c r="E133" s="8">
        <v>44938</v>
      </c>
      <c r="F133" s="7" t="s">
        <v>377</v>
      </c>
    </row>
    <row r="134" spans="1:6" x14ac:dyDescent="0.25">
      <c r="A134" s="15">
        <v>133</v>
      </c>
      <c r="B134" s="10" t="s">
        <v>133</v>
      </c>
      <c r="C134" s="2" t="s">
        <v>379</v>
      </c>
      <c r="D134" s="17">
        <f>1851088.99</f>
        <v>1851088.99</v>
      </c>
      <c r="E134" s="8">
        <v>44938</v>
      </c>
      <c r="F134" s="7" t="s">
        <v>377</v>
      </c>
    </row>
    <row r="135" spans="1:6" x14ac:dyDescent="0.25">
      <c r="A135" s="15">
        <v>134</v>
      </c>
      <c r="B135" s="10" t="s">
        <v>134</v>
      </c>
      <c r="C135" s="2" t="s">
        <v>379</v>
      </c>
      <c r="D135" s="17">
        <f>3956328.98+60149.23+906920.66</f>
        <v>4923398.87</v>
      </c>
      <c r="E135" s="8">
        <v>44938</v>
      </c>
      <c r="F135" s="7" t="s">
        <v>377</v>
      </c>
    </row>
    <row r="136" spans="1:6" x14ac:dyDescent="0.25">
      <c r="A136" s="15">
        <v>135</v>
      </c>
      <c r="B136" s="10" t="s">
        <v>135</v>
      </c>
      <c r="C136" s="2" t="s">
        <v>379</v>
      </c>
      <c r="D136" s="17">
        <f>100592.2</f>
        <v>100592.2</v>
      </c>
      <c r="E136" s="8">
        <v>44938</v>
      </c>
      <c r="F136" s="7" t="s">
        <v>377</v>
      </c>
    </row>
    <row r="137" spans="1:6" x14ac:dyDescent="0.25">
      <c r="A137" s="15">
        <v>136</v>
      </c>
      <c r="B137" s="10" t="s">
        <v>136</v>
      </c>
      <c r="C137" s="2" t="s">
        <v>379</v>
      </c>
      <c r="D137" s="17">
        <f>1975151.15+153860.06</f>
        <v>2129011.21</v>
      </c>
      <c r="E137" s="8">
        <v>44938</v>
      </c>
      <c r="F137" s="7" t="s">
        <v>377</v>
      </c>
    </row>
    <row r="138" spans="1:6" x14ac:dyDescent="0.25">
      <c r="A138" s="15">
        <v>137</v>
      </c>
      <c r="B138" s="10" t="s">
        <v>137</v>
      </c>
      <c r="C138" s="2" t="s">
        <v>379</v>
      </c>
      <c r="D138" s="17">
        <f>4672254.31</f>
        <v>4672254.3099999996</v>
      </c>
      <c r="E138" s="8">
        <v>44938</v>
      </c>
      <c r="F138" s="7" t="s">
        <v>377</v>
      </c>
    </row>
    <row r="139" spans="1:6" x14ac:dyDescent="0.25">
      <c r="A139" s="15">
        <v>138</v>
      </c>
      <c r="B139" s="10" t="s">
        <v>138</v>
      </c>
      <c r="C139" s="11" t="s">
        <v>379</v>
      </c>
      <c r="D139" s="17">
        <f>233754.48</f>
        <v>233754.48</v>
      </c>
      <c r="E139" s="8">
        <v>44938</v>
      </c>
      <c r="F139" s="7" t="s">
        <v>377</v>
      </c>
    </row>
    <row r="140" spans="1:6" ht="37.5" x14ac:dyDescent="0.25">
      <c r="A140" s="15">
        <v>139</v>
      </c>
      <c r="B140" s="10" t="s">
        <v>139</v>
      </c>
      <c r="C140" s="2" t="s">
        <v>378</v>
      </c>
      <c r="D140" s="17">
        <f>10247.38+808052.99</f>
        <v>818300.37</v>
      </c>
      <c r="E140" s="8">
        <v>44938</v>
      </c>
      <c r="F140" s="7" t="s">
        <v>377</v>
      </c>
    </row>
    <row r="141" spans="1:6" x14ac:dyDescent="0.25">
      <c r="A141" s="15">
        <v>140</v>
      </c>
      <c r="B141" s="10" t="s">
        <v>140</v>
      </c>
      <c r="C141" s="2" t="s">
        <v>379</v>
      </c>
      <c r="D141" s="17">
        <f>649641.02</f>
        <v>649641.02</v>
      </c>
      <c r="E141" s="8">
        <v>44938</v>
      </c>
      <c r="F141" s="7" t="s">
        <v>377</v>
      </c>
    </row>
    <row r="142" spans="1:6" x14ac:dyDescent="0.25">
      <c r="A142" s="15">
        <v>141</v>
      </c>
      <c r="B142" s="10" t="s">
        <v>141</v>
      </c>
      <c r="C142" s="2" t="s">
        <v>379</v>
      </c>
      <c r="D142" s="17">
        <f>131066.09</f>
        <v>131066.09</v>
      </c>
      <c r="E142" s="8">
        <v>44938</v>
      </c>
      <c r="F142" s="7" t="s">
        <v>377</v>
      </c>
    </row>
    <row r="143" spans="1:6" x14ac:dyDescent="0.25">
      <c r="A143" s="15">
        <v>142</v>
      </c>
      <c r="B143" s="10" t="s">
        <v>142</v>
      </c>
      <c r="C143" s="2" t="s">
        <v>379</v>
      </c>
      <c r="D143" s="17">
        <f>935567.36+8828017.94</f>
        <v>9763585.2999999989</v>
      </c>
      <c r="E143" s="8">
        <v>44938</v>
      </c>
      <c r="F143" s="7" t="s">
        <v>377</v>
      </c>
    </row>
    <row r="144" spans="1:6" x14ac:dyDescent="0.25">
      <c r="A144" s="15">
        <v>143</v>
      </c>
      <c r="B144" s="10" t="s">
        <v>143</v>
      </c>
      <c r="C144" s="2" t="s">
        <v>379</v>
      </c>
      <c r="D144" s="17">
        <f>22356.19+439082.99</f>
        <v>461439.18</v>
      </c>
      <c r="E144" s="8">
        <v>44938</v>
      </c>
      <c r="F144" s="7" t="s">
        <v>377</v>
      </c>
    </row>
    <row r="145" spans="1:6" x14ac:dyDescent="0.25">
      <c r="A145" s="15">
        <v>144</v>
      </c>
      <c r="B145" s="10" t="s">
        <v>144</v>
      </c>
      <c r="C145" s="2" t="s">
        <v>379</v>
      </c>
      <c r="D145" s="17">
        <f>3078096.85</f>
        <v>3078096.85</v>
      </c>
      <c r="E145" s="8">
        <v>44938</v>
      </c>
      <c r="F145" s="7" t="s">
        <v>377</v>
      </c>
    </row>
    <row r="146" spans="1:6" x14ac:dyDescent="0.25">
      <c r="A146" s="15">
        <v>145</v>
      </c>
      <c r="B146" s="10" t="s">
        <v>145</v>
      </c>
      <c r="C146" s="2" t="s">
        <v>379</v>
      </c>
      <c r="D146" s="17">
        <f>2019856.68</f>
        <v>2019856.68</v>
      </c>
      <c r="E146" s="8">
        <v>44938</v>
      </c>
      <c r="F146" s="7" t="s">
        <v>377</v>
      </c>
    </row>
    <row r="147" spans="1:6" x14ac:dyDescent="0.25">
      <c r="A147" s="15">
        <v>146</v>
      </c>
      <c r="B147" s="10" t="s">
        <v>146</v>
      </c>
      <c r="C147" s="2" t="s">
        <v>379</v>
      </c>
      <c r="D147" s="17">
        <f>538488.73</f>
        <v>538488.73</v>
      </c>
      <c r="E147" s="8">
        <v>44938</v>
      </c>
      <c r="F147" s="7" t="s">
        <v>377</v>
      </c>
    </row>
    <row r="148" spans="1:6" x14ac:dyDescent="0.25">
      <c r="A148" s="15">
        <v>147</v>
      </c>
      <c r="B148" s="10" t="s">
        <v>147</v>
      </c>
      <c r="C148" s="2" t="s">
        <v>379</v>
      </c>
      <c r="D148" s="17">
        <f>395323.31+3540268.84</f>
        <v>3935592.15</v>
      </c>
      <c r="E148" s="8">
        <v>44938</v>
      </c>
      <c r="F148" s="7" t="s">
        <v>377</v>
      </c>
    </row>
    <row r="149" spans="1:6" x14ac:dyDescent="0.25">
      <c r="A149" s="15">
        <v>148</v>
      </c>
      <c r="B149" s="10" t="s">
        <v>148</v>
      </c>
      <c r="C149" s="2" t="s">
        <v>379</v>
      </c>
      <c r="D149" s="17">
        <f>38657.5</f>
        <v>38657.5</v>
      </c>
      <c r="E149" s="8">
        <v>44938</v>
      </c>
      <c r="F149" s="7" t="s">
        <v>377</v>
      </c>
    </row>
    <row r="150" spans="1:6" x14ac:dyDescent="0.25">
      <c r="A150" s="15">
        <v>149</v>
      </c>
      <c r="B150" s="10" t="s">
        <v>149</v>
      </c>
      <c r="C150" s="2" t="s">
        <v>379</v>
      </c>
      <c r="D150" s="17">
        <f>352115.69</f>
        <v>352115.69</v>
      </c>
      <c r="E150" s="8">
        <v>44938</v>
      </c>
      <c r="F150" s="7" t="s">
        <v>377</v>
      </c>
    </row>
    <row r="151" spans="1:6" x14ac:dyDescent="0.25">
      <c r="A151" s="15">
        <v>150</v>
      </c>
      <c r="B151" s="10" t="s">
        <v>150</v>
      </c>
      <c r="C151" s="2" t="s">
        <v>379</v>
      </c>
      <c r="D151" s="17">
        <f>371848.93</f>
        <v>371848.93</v>
      </c>
      <c r="E151" s="8">
        <v>44938</v>
      </c>
      <c r="F151" s="7" t="s">
        <v>377</v>
      </c>
    </row>
    <row r="152" spans="1:6" x14ac:dyDescent="0.25">
      <c r="A152" s="15">
        <v>151</v>
      </c>
      <c r="B152" s="10" t="s">
        <v>151</v>
      </c>
      <c r="C152" s="2" t="s">
        <v>379</v>
      </c>
      <c r="D152" s="17">
        <f>943435.56</f>
        <v>943435.56</v>
      </c>
      <c r="E152" s="8">
        <v>44938</v>
      </c>
      <c r="F152" s="7" t="s">
        <v>377</v>
      </c>
    </row>
    <row r="153" spans="1:6" x14ac:dyDescent="0.25">
      <c r="A153" s="15">
        <v>152</v>
      </c>
      <c r="B153" s="10" t="s">
        <v>152</v>
      </c>
      <c r="C153" s="2" t="s">
        <v>379</v>
      </c>
      <c r="D153" s="17">
        <f>127278.8</f>
        <v>127278.8</v>
      </c>
      <c r="E153" s="8">
        <v>44938</v>
      </c>
      <c r="F153" s="7" t="s">
        <v>377</v>
      </c>
    </row>
    <row r="154" spans="1:6" x14ac:dyDescent="0.25">
      <c r="A154" s="15">
        <v>153</v>
      </c>
      <c r="B154" s="10" t="s">
        <v>153</v>
      </c>
      <c r="C154" s="2" t="s">
        <v>379</v>
      </c>
      <c r="D154" s="17">
        <f>324258.59</f>
        <v>324258.59000000003</v>
      </c>
      <c r="E154" s="8">
        <v>44938</v>
      </c>
      <c r="F154" s="7" t="s">
        <v>377</v>
      </c>
    </row>
    <row r="155" spans="1:6" x14ac:dyDescent="0.25">
      <c r="A155" s="15">
        <v>154</v>
      </c>
      <c r="B155" s="10" t="s">
        <v>154</v>
      </c>
      <c r="C155" s="2" t="s">
        <v>379</v>
      </c>
      <c r="D155" s="17">
        <f>176003.71</f>
        <v>176003.71</v>
      </c>
      <c r="E155" s="8">
        <v>44938</v>
      </c>
      <c r="F155" s="7" t="s">
        <v>377</v>
      </c>
    </row>
    <row r="156" spans="1:6" x14ac:dyDescent="0.25">
      <c r="A156" s="15">
        <v>155</v>
      </c>
      <c r="B156" s="10" t="s">
        <v>155</v>
      </c>
      <c r="C156" s="2" t="s">
        <v>379</v>
      </c>
      <c r="D156" s="17">
        <f>19157388.19</f>
        <v>19157388.190000001</v>
      </c>
      <c r="E156" s="8">
        <v>44938</v>
      </c>
      <c r="F156" s="7" t="s">
        <v>377</v>
      </c>
    </row>
    <row r="157" spans="1:6" x14ac:dyDescent="0.25">
      <c r="A157" s="15">
        <v>156</v>
      </c>
      <c r="B157" s="10" t="s">
        <v>156</v>
      </c>
      <c r="C157" s="2" t="s">
        <v>379</v>
      </c>
      <c r="D157" s="17">
        <f>40491.26</f>
        <v>40491.26</v>
      </c>
      <c r="E157" s="8">
        <v>44938</v>
      </c>
      <c r="F157" s="7" t="s">
        <v>377</v>
      </c>
    </row>
    <row r="158" spans="1:6" x14ac:dyDescent="0.25">
      <c r="A158" s="15">
        <v>157</v>
      </c>
      <c r="B158" s="10" t="s">
        <v>157</v>
      </c>
      <c r="C158" s="2" t="s">
        <v>379</v>
      </c>
      <c r="D158" s="17">
        <f>967200.88</f>
        <v>967200.88</v>
      </c>
      <c r="E158" s="8">
        <v>44938</v>
      </c>
      <c r="F158" s="7" t="s">
        <v>377</v>
      </c>
    </row>
    <row r="159" spans="1:6" x14ac:dyDescent="0.25">
      <c r="A159" s="15">
        <v>158</v>
      </c>
      <c r="B159" s="10" t="s">
        <v>158</v>
      </c>
      <c r="C159" s="2" t="s">
        <v>379</v>
      </c>
      <c r="D159" s="17">
        <f>477348.4</f>
        <v>477348.4</v>
      </c>
      <c r="E159" s="8">
        <v>44938</v>
      </c>
      <c r="F159" s="7" t="s">
        <v>377</v>
      </c>
    </row>
    <row r="160" spans="1:6" x14ac:dyDescent="0.25">
      <c r="A160" s="15">
        <v>159</v>
      </c>
      <c r="B160" s="10" t="s">
        <v>159</v>
      </c>
      <c r="C160" s="2" t="s">
        <v>379</v>
      </c>
      <c r="D160" s="17">
        <f>3374086.92</f>
        <v>3374086.92</v>
      </c>
      <c r="E160" s="8">
        <v>44938</v>
      </c>
      <c r="F160" s="7" t="s">
        <v>377</v>
      </c>
    </row>
    <row r="161" spans="1:6" x14ac:dyDescent="0.25">
      <c r="A161" s="15">
        <v>160</v>
      </c>
      <c r="B161" s="10" t="s">
        <v>160</v>
      </c>
      <c r="C161" s="11" t="s">
        <v>379</v>
      </c>
      <c r="D161" s="17">
        <f>108092.02</f>
        <v>108092.02</v>
      </c>
      <c r="E161" s="8">
        <v>44938</v>
      </c>
      <c r="F161" s="7" t="s">
        <v>377</v>
      </c>
    </row>
    <row r="162" spans="1:6" x14ac:dyDescent="0.25">
      <c r="A162" s="15">
        <v>161</v>
      </c>
      <c r="B162" s="10" t="s">
        <v>161</v>
      </c>
      <c r="C162" s="2" t="s">
        <v>379</v>
      </c>
      <c r="D162" s="17">
        <f>9953779.06</f>
        <v>9953779.0600000005</v>
      </c>
      <c r="E162" s="8">
        <v>44938</v>
      </c>
      <c r="F162" s="7" t="s">
        <v>377</v>
      </c>
    </row>
    <row r="163" spans="1:6" x14ac:dyDescent="0.25">
      <c r="A163" s="15">
        <v>162</v>
      </c>
      <c r="B163" s="10" t="s">
        <v>162</v>
      </c>
      <c r="C163" s="2" t="s">
        <v>379</v>
      </c>
      <c r="D163" s="17">
        <f>14994.84</f>
        <v>14994.84</v>
      </c>
      <c r="E163" s="8">
        <v>44938</v>
      </c>
      <c r="F163" s="7" t="s">
        <v>377</v>
      </c>
    </row>
    <row r="164" spans="1:6" ht="37.5" x14ac:dyDescent="0.25">
      <c r="A164" s="15">
        <v>163</v>
      </c>
      <c r="B164" s="10" t="s">
        <v>163</v>
      </c>
      <c r="C164" s="2" t="s">
        <v>378</v>
      </c>
      <c r="D164" s="17">
        <f>46959.37+11036847.56</f>
        <v>11083806.93</v>
      </c>
      <c r="E164" s="8">
        <v>44938</v>
      </c>
      <c r="F164" s="7" t="s">
        <v>377</v>
      </c>
    </row>
    <row r="165" spans="1:6" x14ac:dyDescent="0.25">
      <c r="A165" s="15">
        <v>164</v>
      </c>
      <c r="B165" s="10" t="s">
        <v>164</v>
      </c>
      <c r="C165" s="2" t="s">
        <v>379</v>
      </c>
      <c r="D165" s="17">
        <f>303103.93</f>
        <v>303103.93</v>
      </c>
      <c r="E165" s="8">
        <v>44938</v>
      </c>
      <c r="F165" s="7" t="s">
        <v>377</v>
      </c>
    </row>
    <row r="166" spans="1:6" x14ac:dyDescent="0.25">
      <c r="A166" s="15">
        <v>165</v>
      </c>
      <c r="B166" s="10" t="s">
        <v>165</v>
      </c>
      <c r="C166" s="11" t="s">
        <v>379</v>
      </c>
      <c r="D166" s="17">
        <f>300150.78</f>
        <v>300150.78000000003</v>
      </c>
      <c r="E166" s="8">
        <v>44938</v>
      </c>
      <c r="F166" s="7" t="s">
        <v>377</v>
      </c>
    </row>
    <row r="167" spans="1:6" x14ac:dyDescent="0.25">
      <c r="A167" s="15">
        <v>166</v>
      </c>
      <c r="B167" s="10" t="s">
        <v>166</v>
      </c>
      <c r="C167" s="2" t="s">
        <v>379</v>
      </c>
      <c r="D167" s="17">
        <f>1460485.67</f>
        <v>1460485.67</v>
      </c>
      <c r="E167" s="8">
        <v>44938</v>
      </c>
      <c r="F167" s="7" t="s">
        <v>377</v>
      </c>
    </row>
    <row r="168" spans="1:6" x14ac:dyDescent="0.25">
      <c r="A168" s="15">
        <v>167</v>
      </c>
      <c r="B168" s="10" t="s">
        <v>167</v>
      </c>
      <c r="C168" s="2" t="s">
        <v>379</v>
      </c>
      <c r="D168" s="17">
        <f>62461.98</f>
        <v>62461.98</v>
      </c>
      <c r="E168" s="8">
        <v>44938</v>
      </c>
      <c r="F168" s="7" t="s">
        <v>377</v>
      </c>
    </row>
    <row r="169" spans="1:6" x14ac:dyDescent="0.25">
      <c r="A169" s="15">
        <v>168</v>
      </c>
      <c r="B169" s="10" t="s">
        <v>168</v>
      </c>
      <c r="C169" s="2" t="s">
        <v>379</v>
      </c>
      <c r="D169" s="17">
        <f>13210.21</f>
        <v>13210.21</v>
      </c>
      <c r="E169" s="8">
        <v>44938</v>
      </c>
      <c r="F169" s="7" t="s">
        <v>377</v>
      </c>
    </row>
    <row r="170" spans="1:6" x14ac:dyDescent="0.25">
      <c r="A170" s="15">
        <v>169</v>
      </c>
      <c r="B170" s="10" t="s">
        <v>169</v>
      </c>
      <c r="C170" s="2" t="s">
        <v>379</v>
      </c>
      <c r="D170" s="17">
        <f>16871.82</f>
        <v>16871.82</v>
      </c>
      <c r="E170" s="8">
        <v>44938</v>
      </c>
      <c r="F170" s="7" t="s">
        <v>377</v>
      </c>
    </row>
    <row r="171" spans="1:6" x14ac:dyDescent="0.25">
      <c r="A171" s="15">
        <v>170</v>
      </c>
      <c r="B171" s="10" t="s">
        <v>170</v>
      </c>
      <c r="C171" s="2" t="s">
        <v>379</v>
      </c>
      <c r="D171" s="17">
        <f>14473.92</f>
        <v>14473.92</v>
      </c>
      <c r="E171" s="8">
        <v>44938</v>
      </c>
      <c r="F171" s="7" t="s">
        <v>377</v>
      </c>
    </row>
    <row r="172" spans="1:6" x14ac:dyDescent="0.25">
      <c r="A172" s="15">
        <v>171</v>
      </c>
      <c r="B172" s="10" t="s">
        <v>171</v>
      </c>
      <c r="C172" s="2" t="s">
        <v>379</v>
      </c>
      <c r="D172" s="17">
        <f>5599678.8</f>
        <v>5599678.7999999998</v>
      </c>
      <c r="E172" s="8">
        <v>44938</v>
      </c>
      <c r="F172" s="7" t="s">
        <v>377</v>
      </c>
    </row>
    <row r="173" spans="1:6" x14ac:dyDescent="0.25">
      <c r="A173" s="15">
        <v>172</v>
      </c>
      <c r="B173" s="10" t="s">
        <v>172</v>
      </c>
      <c r="C173" s="2" t="s">
        <v>379</v>
      </c>
      <c r="D173" s="17">
        <f>23128.1</f>
        <v>23128.1</v>
      </c>
      <c r="E173" s="8">
        <v>44938</v>
      </c>
      <c r="F173" s="7" t="s">
        <v>377</v>
      </c>
    </row>
    <row r="174" spans="1:6" x14ac:dyDescent="0.25">
      <c r="A174" s="15">
        <v>173</v>
      </c>
      <c r="B174" s="10" t="s">
        <v>173</v>
      </c>
      <c r="C174" s="2" t="s">
        <v>379</v>
      </c>
      <c r="D174" s="17">
        <f>155655.71</f>
        <v>155655.71</v>
      </c>
      <c r="E174" s="8">
        <v>44938</v>
      </c>
      <c r="F174" s="7" t="s">
        <v>377</v>
      </c>
    </row>
    <row r="175" spans="1:6" x14ac:dyDescent="0.25">
      <c r="A175" s="15">
        <v>174</v>
      </c>
      <c r="B175" s="10" t="s">
        <v>174</v>
      </c>
      <c r="C175" s="2" t="s">
        <v>379</v>
      </c>
      <c r="D175" s="17">
        <f>13012.57</f>
        <v>13012.57</v>
      </c>
      <c r="E175" s="8">
        <v>44938</v>
      </c>
      <c r="F175" s="7" t="s">
        <v>377</v>
      </c>
    </row>
    <row r="176" spans="1:6" x14ac:dyDescent="0.25">
      <c r="A176" s="15">
        <v>175</v>
      </c>
      <c r="B176" s="10" t="s">
        <v>175</v>
      </c>
      <c r="C176" s="2" t="s">
        <v>379</v>
      </c>
      <c r="D176" s="17">
        <f>47046.2+556341.67</f>
        <v>603387.87</v>
      </c>
      <c r="E176" s="8">
        <v>44938</v>
      </c>
      <c r="F176" s="7" t="s">
        <v>377</v>
      </c>
    </row>
    <row r="177" spans="1:6" x14ac:dyDescent="0.25">
      <c r="A177" s="15">
        <v>176</v>
      </c>
      <c r="B177" s="10" t="s">
        <v>176</v>
      </c>
      <c r="C177" s="2" t="s">
        <v>379</v>
      </c>
      <c r="D177" s="17">
        <f>57039.42</f>
        <v>57039.42</v>
      </c>
      <c r="E177" s="8">
        <v>44938</v>
      </c>
      <c r="F177" s="7" t="s">
        <v>377</v>
      </c>
    </row>
    <row r="178" spans="1:6" x14ac:dyDescent="0.25">
      <c r="A178" s="15">
        <v>177</v>
      </c>
      <c r="B178" s="10" t="s">
        <v>177</v>
      </c>
      <c r="C178" s="2" t="s">
        <v>379</v>
      </c>
      <c r="D178" s="17">
        <f>135163.72</f>
        <v>135163.72</v>
      </c>
      <c r="E178" s="8">
        <v>44938</v>
      </c>
      <c r="F178" s="7" t="s">
        <v>377</v>
      </c>
    </row>
    <row r="179" spans="1:6" x14ac:dyDescent="0.25">
      <c r="A179" s="15">
        <v>178</v>
      </c>
      <c r="B179" s="10" t="s">
        <v>178</v>
      </c>
      <c r="C179" s="2" t="s">
        <v>379</v>
      </c>
      <c r="D179" s="17">
        <f>3029157.97</f>
        <v>3029157.97</v>
      </c>
      <c r="E179" s="8">
        <v>44938</v>
      </c>
      <c r="F179" s="7" t="s">
        <v>377</v>
      </c>
    </row>
    <row r="180" spans="1:6" x14ac:dyDescent="0.25">
      <c r="A180" s="15">
        <v>179</v>
      </c>
      <c r="B180" s="10" t="s">
        <v>179</v>
      </c>
      <c r="C180" s="2" t="s">
        <v>379</v>
      </c>
      <c r="D180" s="18">
        <f>166989.47</f>
        <v>166989.47</v>
      </c>
      <c r="E180" s="8">
        <v>44938</v>
      </c>
      <c r="F180" s="7" t="s">
        <v>377</v>
      </c>
    </row>
    <row r="181" spans="1:6" x14ac:dyDescent="0.25">
      <c r="A181" s="15">
        <v>180</v>
      </c>
      <c r="B181" s="10" t="s">
        <v>180</v>
      </c>
      <c r="C181" s="2" t="s">
        <v>379</v>
      </c>
      <c r="D181" s="17">
        <f>11183830.17</f>
        <v>11183830.17</v>
      </c>
      <c r="E181" s="8">
        <v>44938</v>
      </c>
      <c r="F181" s="7" t="s">
        <v>377</v>
      </c>
    </row>
    <row r="182" spans="1:6" x14ac:dyDescent="0.25">
      <c r="A182" s="15">
        <v>181</v>
      </c>
      <c r="B182" s="10" t="s">
        <v>181</v>
      </c>
      <c r="C182" s="2" t="s">
        <v>379</v>
      </c>
      <c r="D182" s="17">
        <f>230211.7+509377.24</f>
        <v>739588.94</v>
      </c>
      <c r="E182" s="8">
        <v>44938</v>
      </c>
      <c r="F182" s="7" t="s">
        <v>377</v>
      </c>
    </row>
    <row r="183" spans="1:6" x14ac:dyDescent="0.25">
      <c r="A183" s="15">
        <v>182</v>
      </c>
      <c r="B183" s="10" t="s">
        <v>182</v>
      </c>
      <c r="C183" s="2" t="s">
        <v>379</v>
      </c>
      <c r="D183" s="17">
        <f>3321462.6</f>
        <v>3321462.6</v>
      </c>
      <c r="E183" s="8">
        <v>44938</v>
      </c>
      <c r="F183" s="7" t="s">
        <v>377</v>
      </c>
    </row>
    <row r="184" spans="1:6" x14ac:dyDescent="0.25">
      <c r="A184" s="15">
        <v>183</v>
      </c>
      <c r="B184" s="10" t="s">
        <v>183</v>
      </c>
      <c r="C184" s="2" t="s">
        <v>379</v>
      </c>
      <c r="D184" s="17">
        <f>101154.7</f>
        <v>101154.7</v>
      </c>
      <c r="E184" s="8">
        <v>44938</v>
      </c>
      <c r="F184" s="7" t="s">
        <v>377</v>
      </c>
    </row>
    <row r="185" spans="1:6" x14ac:dyDescent="0.25">
      <c r="A185" s="15">
        <v>184</v>
      </c>
      <c r="B185" s="10" t="s">
        <v>184</v>
      </c>
      <c r="C185" s="2" t="s">
        <v>379</v>
      </c>
      <c r="D185" s="17">
        <f>208739.08</f>
        <v>208739.08</v>
      </c>
      <c r="E185" s="8">
        <v>44938</v>
      </c>
      <c r="F185" s="7" t="s">
        <v>377</v>
      </c>
    </row>
    <row r="186" spans="1:6" x14ac:dyDescent="0.25">
      <c r="A186" s="15">
        <v>185</v>
      </c>
      <c r="B186" s="10" t="s">
        <v>185</v>
      </c>
      <c r="C186" s="11" t="s">
        <v>379</v>
      </c>
      <c r="D186" s="17">
        <f>268200.85</f>
        <v>268200.84999999998</v>
      </c>
      <c r="E186" s="8">
        <v>44938</v>
      </c>
      <c r="F186" s="7" t="s">
        <v>377</v>
      </c>
    </row>
    <row r="187" spans="1:6" ht="37.5" x14ac:dyDescent="0.25">
      <c r="A187" s="15">
        <v>186</v>
      </c>
      <c r="B187" s="10" t="s">
        <v>186</v>
      </c>
      <c r="C187" s="2" t="s">
        <v>379</v>
      </c>
      <c r="D187" s="17">
        <f>61672.78+2053226.44</f>
        <v>2114899.2199999997</v>
      </c>
      <c r="E187" s="8">
        <v>44938</v>
      </c>
      <c r="F187" s="7" t="s">
        <v>377</v>
      </c>
    </row>
    <row r="188" spans="1:6" x14ac:dyDescent="0.25">
      <c r="A188" s="15">
        <v>187</v>
      </c>
      <c r="B188" s="10" t="s">
        <v>187</v>
      </c>
      <c r="C188" s="2" t="s">
        <v>379</v>
      </c>
      <c r="D188" s="17">
        <f>4595016.44+75922.97+423285.42</f>
        <v>5094224.83</v>
      </c>
      <c r="E188" s="8">
        <v>44938</v>
      </c>
      <c r="F188" s="7" t="s">
        <v>377</v>
      </c>
    </row>
    <row r="189" spans="1:6" x14ac:dyDescent="0.25">
      <c r="A189" s="15">
        <v>188</v>
      </c>
      <c r="B189" s="10" t="s">
        <v>188</v>
      </c>
      <c r="C189" s="2" t="s">
        <v>379</v>
      </c>
      <c r="D189" s="17">
        <f>43360.36</f>
        <v>43360.36</v>
      </c>
      <c r="E189" s="8">
        <v>44938</v>
      </c>
      <c r="F189" s="7" t="s">
        <v>377</v>
      </c>
    </row>
    <row r="190" spans="1:6" x14ac:dyDescent="0.25">
      <c r="A190" s="15">
        <v>189</v>
      </c>
      <c r="B190" s="10" t="s">
        <v>189</v>
      </c>
      <c r="C190" s="2" t="s">
        <v>379</v>
      </c>
      <c r="D190" s="17">
        <f>144494.58</f>
        <v>144494.57999999999</v>
      </c>
      <c r="E190" s="8">
        <v>44938</v>
      </c>
      <c r="F190" s="7" t="s">
        <v>377</v>
      </c>
    </row>
    <row r="191" spans="1:6" x14ac:dyDescent="0.25">
      <c r="A191" s="15">
        <v>190</v>
      </c>
      <c r="B191" s="10" t="s">
        <v>190</v>
      </c>
      <c r="C191" s="2" t="s">
        <v>379</v>
      </c>
      <c r="D191" s="17">
        <f>14897697.17+160761.74</f>
        <v>15058458.91</v>
      </c>
      <c r="E191" s="8">
        <v>44938</v>
      </c>
      <c r="F191" s="7" t="s">
        <v>377</v>
      </c>
    </row>
    <row r="192" spans="1:6" ht="37.5" x14ac:dyDescent="0.3">
      <c r="A192" s="15">
        <v>191</v>
      </c>
      <c r="B192" s="1" t="s">
        <v>191</v>
      </c>
      <c r="C192" s="13" t="s">
        <v>378</v>
      </c>
      <c r="D192" s="19">
        <f>6544937.03</f>
        <v>6544937.0300000003</v>
      </c>
      <c r="E192" s="8">
        <v>45076</v>
      </c>
      <c r="F192" s="7" t="s">
        <v>377</v>
      </c>
    </row>
    <row r="193" spans="1:6" ht="37.5" x14ac:dyDescent="0.3">
      <c r="A193" s="15">
        <v>192</v>
      </c>
      <c r="B193" s="1" t="s">
        <v>192</v>
      </c>
      <c r="C193" s="2" t="s">
        <v>378</v>
      </c>
      <c r="D193" s="19">
        <f>1878092.88</f>
        <v>1878092.88</v>
      </c>
      <c r="E193" s="8">
        <v>45076</v>
      </c>
      <c r="F193" s="7" t="s">
        <v>377</v>
      </c>
    </row>
    <row r="194" spans="1:6" x14ac:dyDescent="0.3">
      <c r="A194" s="15">
        <v>193</v>
      </c>
      <c r="B194" s="1" t="s">
        <v>360</v>
      </c>
      <c r="C194" s="2" t="s">
        <v>379</v>
      </c>
      <c r="D194" s="19">
        <f>894502.2</f>
        <v>894502.2</v>
      </c>
      <c r="E194" s="8">
        <v>45076</v>
      </c>
      <c r="F194" s="7" t="s">
        <v>377</v>
      </c>
    </row>
    <row r="195" spans="1:6" x14ac:dyDescent="0.3">
      <c r="A195" s="15">
        <v>194</v>
      </c>
      <c r="B195" s="1" t="s">
        <v>193</v>
      </c>
      <c r="C195" s="2" t="s">
        <v>379</v>
      </c>
      <c r="D195" s="19">
        <f>150566.96</f>
        <v>150566.96</v>
      </c>
      <c r="E195" s="8">
        <v>45076</v>
      </c>
      <c r="F195" s="7" t="s">
        <v>377</v>
      </c>
    </row>
    <row r="196" spans="1:6" ht="37.5" x14ac:dyDescent="0.3">
      <c r="A196" s="15">
        <v>195</v>
      </c>
      <c r="B196" s="1" t="s">
        <v>361</v>
      </c>
      <c r="C196" s="2" t="s">
        <v>379</v>
      </c>
      <c r="D196" s="19">
        <f>322477.6</f>
        <v>322477.59999999998</v>
      </c>
      <c r="E196" s="8">
        <v>45076</v>
      </c>
      <c r="F196" s="7" t="s">
        <v>377</v>
      </c>
    </row>
    <row r="197" spans="1:6" x14ac:dyDescent="0.3">
      <c r="A197" s="15">
        <v>196</v>
      </c>
      <c r="B197" s="1" t="s">
        <v>194</v>
      </c>
      <c r="C197" s="2" t="s">
        <v>379</v>
      </c>
      <c r="D197" s="19">
        <f>3655856.51</f>
        <v>3655856.51</v>
      </c>
      <c r="E197" s="8">
        <v>45076</v>
      </c>
      <c r="F197" s="7" t="s">
        <v>377</v>
      </c>
    </row>
    <row r="198" spans="1:6" x14ac:dyDescent="0.3">
      <c r="A198" s="15">
        <v>197</v>
      </c>
      <c r="B198" s="1" t="s">
        <v>195</v>
      </c>
      <c r="C198" s="2" t="s">
        <v>379</v>
      </c>
      <c r="D198" s="19">
        <f>2122708.81</f>
        <v>2122708.81</v>
      </c>
      <c r="E198" s="8">
        <v>45076</v>
      </c>
      <c r="F198" s="7" t="s">
        <v>377</v>
      </c>
    </row>
    <row r="199" spans="1:6" x14ac:dyDescent="0.3">
      <c r="A199" s="15">
        <v>198</v>
      </c>
      <c r="B199" s="1" t="s">
        <v>196</v>
      </c>
      <c r="C199" s="2" t="s">
        <v>379</v>
      </c>
      <c r="D199" s="19">
        <f>3736400.84</f>
        <v>3736400.84</v>
      </c>
      <c r="E199" s="8">
        <v>45076</v>
      </c>
      <c r="F199" s="7" t="s">
        <v>377</v>
      </c>
    </row>
    <row r="200" spans="1:6" x14ac:dyDescent="0.3">
      <c r="A200" s="15">
        <v>199</v>
      </c>
      <c r="B200" s="1" t="s">
        <v>197</v>
      </c>
      <c r="C200" s="2" t="s">
        <v>379</v>
      </c>
      <c r="D200" s="19">
        <f>939118.15</f>
        <v>939118.15</v>
      </c>
      <c r="E200" s="8">
        <v>45076</v>
      </c>
      <c r="F200" s="7" t="s">
        <v>377</v>
      </c>
    </row>
    <row r="201" spans="1:6" x14ac:dyDescent="0.3">
      <c r="A201" s="15">
        <v>200</v>
      </c>
      <c r="B201" s="1" t="s">
        <v>198</v>
      </c>
      <c r="C201" s="2" t="s">
        <v>379</v>
      </c>
      <c r="D201" s="19">
        <f>5609543.77</f>
        <v>5609543.7699999996</v>
      </c>
      <c r="E201" s="8">
        <v>45076</v>
      </c>
      <c r="F201" s="7" t="s">
        <v>377</v>
      </c>
    </row>
    <row r="202" spans="1:6" x14ac:dyDescent="0.3">
      <c r="A202" s="15">
        <v>201</v>
      </c>
      <c r="B202" s="1" t="s">
        <v>199</v>
      </c>
      <c r="C202" s="2" t="s">
        <v>379</v>
      </c>
      <c r="D202" s="19">
        <f>2565037.54</f>
        <v>2565037.54</v>
      </c>
      <c r="E202" s="8">
        <v>45076</v>
      </c>
      <c r="F202" s="7" t="s">
        <v>377</v>
      </c>
    </row>
    <row r="203" spans="1:6" x14ac:dyDescent="0.3">
      <c r="A203" s="15">
        <v>202</v>
      </c>
      <c r="B203" s="1" t="s">
        <v>200</v>
      </c>
      <c r="C203" s="2" t="s">
        <v>379</v>
      </c>
      <c r="D203" s="19">
        <f>279972.23</f>
        <v>279972.23</v>
      </c>
      <c r="E203" s="8">
        <v>45076</v>
      </c>
      <c r="F203" s="7" t="s">
        <v>377</v>
      </c>
    </row>
    <row r="204" spans="1:6" ht="37.5" x14ac:dyDescent="0.3">
      <c r="A204" s="15">
        <v>204</v>
      </c>
      <c r="B204" s="1" t="s">
        <v>201</v>
      </c>
      <c r="C204" s="2" t="s">
        <v>378</v>
      </c>
      <c r="D204" s="19">
        <f>218190.41+281952.23+134252.99+3794518.58</f>
        <v>4428914.21</v>
      </c>
      <c r="E204" s="8">
        <v>45076</v>
      </c>
      <c r="F204" s="7" t="s">
        <v>377</v>
      </c>
    </row>
    <row r="205" spans="1:6" x14ac:dyDescent="0.3">
      <c r="A205" s="15">
        <v>205</v>
      </c>
      <c r="B205" s="1" t="s">
        <v>202</v>
      </c>
      <c r="C205" s="2" t="s">
        <v>379</v>
      </c>
      <c r="D205" s="19">
        <f>165257.41</f>
        <v>165257.41</v>
      </c>
      <c r="E205" s="8">
        <v>45076</v>
      </c>
      <c r="F205" s="7" t="s">
        <v>377</v>
      </c>
    </row>
    <row r="206" spans="1:6" x14ac:dyDescent="0.3">
      <c r="A206" s="15">
        <v>206</v>
      </c>
      <c r="B206" s="1" t="s">
        <v>362</v>
      </c>
      <c r="C206" s="2" t="s">
        <v>379</v>
      </c>
      <c r="D206" s="19">
        <f>745125.7</f>
        <v>745125.7</v>
      </c>
      <c r="E206" s="8">
        <v>45076</v>
      </c>
      <c r="F206" s="7" t="s">
        <v>377</v>
      </c>
    </row>
    <row r="207" spans="1:6" ht="37.5" x14ac:dyDescent="0.3">
      <c r="A207" s="15">
        <v>207</v>
      </c>
      <c r="B207" s="1" t="s">
        <v>203</v>
      </c>
      <c r="C207" s="2" t="s">
        <v>379</v>
      </c>
      <c r="D207" s="19">
        <f>1104619.48</f>
        <v>1104619.48</v>
      </c>
      <c r="E207" s="8">
        <v>45076</v>
      </c>
      <c r="F207" s="7" t="s">
        <v>377</v>
      </c>
    </row>
    <row r="208" spans="1:6" x14ac:dyDescent="0.3">
      <c r="A208" s="15">
        <v>208</v>
      </c>
      <c r="B208" s="1" t="s">
        <v>204</v>
      </c>
      <c r="C208" s="2" t="s">
        <v>379</v>
      </c>
      <c r="D208" s="19">
        <f>176655.2</f>
        <v>176655.2</v>
      </c>
      <c r="E208" s="8">
        <v>45076</v>
      </c>
      <c r="F208" s="7" t="s">
        <v>377</v>
      </c>
    </row>
    <row r="209" spans="1:6" ht="37.5" x14ac:dyDescent="0.3">
      <c r="A209" s="15">
        <v>209</v>
      </c>
      <c r="B209" s="1" t="s">
        <v>205</v>
      </c>
      <c r="C209" s="2" t="s">
        <v>378</v>
      </c>
      <c r="D209" s="19">
        <f>1504104.1</f>
        <v>1504104.1</v>
      </c>
      <c r="E209" s="8">
        <v>45076</v>
      </c>
      <c r="F209" s="7" t="s">
        <v>377</v>
      </c>
    </row>
    <row r="210" spans="1:6" x14ac:dyDescent="0.3">
      <c r="A210" s="15">
        <v>210</v>
      </c>
      <c r="B210" s="1" t="s">
        <v>206</v>
      </c>
      <c r="C210" s="2" t="s">
        <v>379</v>
      </c>
      <c r="D210" s="19">
        <f>207581.92</f>
        <v>207581.92</v>
      </c>
      <c r="E210" s="8">
        <v>45076</v>
      </c>
      <c r="F210" s="7" t="s">
        <v>377</v>
      </c>
    </row>
    <row r="211" spans="1:6" ht="37.5" x14ac:dyDescent="0.3">
      <c r="A211" s="15">
        <v>211</v>
      </c>
      <c r="B211" s="1" t="s">
        <v>207</v>
      </c>
      <c r="C211" s="2" t="s">
        <v>378</v>
      </c>
      <c r="D211" s="19">
        <f>4239817.84</f>
        <v>4239817.84</v>
      </c>
      <c r="E211" s="8">
        <v>45076</v>
      </c>
      <c r="F211" s="7" t="s">
        <v>377</v>
      </c>
    </row>
    <row r="212" spans="1:6" ht="37.5" x14ac:dyDescent="0.3">
      <c r="A212" s="15">
        <v>212</v>
      </c>
      <c r="B212" s="1" t="s">
        <v>208</v>
      </c>
      <c r="C212" s="2" t="s">
        <v>378</v>
      </c>
      <c r="D212" s="19">
        <f>3654813.31</f>
        <v>3654813.31</v>
      </c>
      <c r="E212" s="8">
        <v>45076</v>
      </c>
      <c r="F212" s="7" t="s">
        <v>377</v>
      </c>
    </row>
    <row r="213" spans="1:6" ht="37.5" x14ac:dyDescent="0.3">
      <c r="A213" s="15">
        <v>213</v>
      </c>
      <c r="B213" s="1" t="s">
        <v>209</v>
      </c>
      <c r="C213" s="2" t="s">
        <v>378</v>
      </c>
      <c r="D213" s="19">
        <f>4215486.97+4261182.31</f>
        <v>8476669.2799999993</v>
      </c>
      <c r="E213" s="8">
        <v>45076</v>
      </c>
      <c r="F213" s="7" t="s">
        <v>377</v>
      </c>
    </row>
    <row r="214" spans="1:6" x14ac:dyDescent="0.3">
      <c r="A214" s="15">
        <v>214</v>
      </c>
      <c r="B214" s="1" t="s">
        <v>210</v>
      </c>
      <c r="C214" s="2" t="s">
        <v>379</v>
      </c>
      <c r="D214" s="19">
        <f>3313743.46</f>
        <v>3313743.46</v>
      </c>
      <c r="E214" s="8">
        <v>45076</v>
      </c>
      <c r="F214" s="7" t="s">
        <v>377</v>
      </c>
    </row>
    <row r="215" spans="1:6" ht="37.5" x14ac:dyDescent="0.3">
      <c r="A215" s="15">
        <v>215</v>
      </c>
      <c r="B215" s="1" t="s">
        <v>211</v>
      </c>
      <c r="C215" s="2" t="s">
        <v>378</v>
      </c>
      <c r="D215" s="19">
        <f>1334571.76</f>
        <v>1334571.76</v>
      </c>
      <c r="E215" s="8">
        <v>45076</v>
      </c>
      <c r="F215" s="7" t="s">
        <v>377</v>
      </c>
    </row>
    <row r="216" spans="1:6" ht="37.5" x14ac:dyDescent="0.3">
      <c r="A216" s="15">
        <v>216</v>
      </c>
      <c r="B216" s="1" t="s">
        <v>212</v>
      </c>
      <c r="C216" s="2" t="s">
        <v>378</v>
      </c>
      <c r="D216" s="19">
        <f>1975994.72</f>
        <v>1975994.72</v>
      </c>
      <c r="E216" s="8">
        <v>45076</v>
      </c>
      <c r="F216" s="7" t="s">
        <v>377</v>
      </c>
    </row>
    <row r="217" spans="1:6" ht="37.5" x14ac:dyDescent="0.3">
      <c r="A217" s="15">
        <v>217</v>
      </c>
      <c r="B217" s="1" t="s">
        <v>213</v>
      </c>
      <c r="C217" s="2" t="s">
        <v>378</v>
      </c>
      <c r="D217" s="19">
        <f>2157358.37</f>
        <v>2157358.37</v>
      </c>
      <c r="E217" s="8">
        <v>45076</v>
      </c>
      <c r="F217" s="7" t="s">
        <v>377</v>
      </c>
    </row>
    <row r="218" spans="1:6" ht="37.5" x14ac:dyDescent="0.3">
      <c r="A218" s="15">
        <v>218</v>
      </c>
      <c r="B218" s="1" t="s">
        <v>214</v>
      </c>
      <c r="C218" s="2" t="s">
        <v>378</v>
      </c>
      <c r="D218" s="19">
        <f>2229406.24</f>
        <v>2229406.2400000002</v>
      </c>
      <c r="E218" s="8">
        <v>45076</v>
      </c>
      <c r="F218" s="7" t="s">
        <v>377</v>
      </c>
    </row>
    <row r="219" spans="1:6" x14ac:dyDescent="0.3">
      <c r="A219" s="15">
        <v>219</v>
      </c>
      <c r="B219" s="1" t="s">
        <v>215</v>
      </c>
      <c r="C219" s="2" t="s">
        <v>379</v>
      </c>
      <c r="D219" s="19">
        <f>880848.59</f>
        <v>880848.59</v>
      </c>
      <c r="E219" s="8">
        <v>45076</v>
      </c>
      <c r="F219" s="7" t="s">
        <v>377</v>
      </c>
    </row>
    <row r="220" spans="1:6" ht="37.5" x14ac:dyDescent="0.3">
      <c r="A220" s="15">
        <v>220</v>
      </c>
      <c r="B220" s="1" t="s">
        <v>363</v>
      </c>
      <c r="C220" s="2" t="s">
        <v>379</v>
      </c>
      <c r="D220" s="19">
        <f>705884.63</f>
        <v>705884.63</v>
      </c>
      <c r="E220" s="8">
        <v>45076</v>
      </c>
      <c r="F220" s="7" t="s">
        <v>377</v>
      </c>
    </row>
    <row r="221" spans="1:6" x14ac:dyDescent="0.3">
      <c r="A221" s="15">
        <v>221</v>
      </c>
      <c r="B221" s="1" t="s">
        <v>216</v>
      </c>
      <c r="C221" s="2" t="s">
        <v>379</v>
      </c>
      <c r="D221" s="19">
        <f>2160011.48</f>
        <v>2160011.48</v>
      </c>
      <c r="E221" s="8">
        <v>45076</v>
      </c>
      <c r="F221" s="7" t="s">
        <v>377</v>
      </c>
    </row>
    <row r="222" spans="1:6" x14ac:dyDescent="0.3">
      <c r="A222" s="15">
        <v>222</v>
      </c>
      <c r="B222" s="1" t="s">
        <v>364</v>
      </c>
      <c r="C222" s="2" t="s">
        <v>379</v>
      </c>
      <c r="D222" s="19">
        <f>773543.66</f>
        <v>773543.66</v>
      </c>
      <c r="E222" s="8">
        <v>45076</v>
      </c>
      <c r="F222" s="7" t="s">
        <v>377</v>
      </c>
    </row>
    <row r="223" spans="1:6" x14ac:dyDescent="0.3">
      <c r="A223" s="15">
        <v>223</v>
      </c>
      <c r="B223" s="1" t="s">
        <v>217</v>
      </c>
      <c r="C223" s="2" t="s">
        <v>379</v>
      </c>
      <c r="D223" s="19">
        <f>270878.81</f>
        <v>270878.81</v>
      </c>
      <c r="E223" s="8">
        <v>45076</v>
      </c>
      <c r="F223" s="7" t="s">
        <v>377</v>
      </c>
    </row>
    <row r="224" spans="1:6" ht="37.5" x14ac:dyDescent="0.3">
      <c r="A224" s="15">
        <v>224</v>
      </c>
      <c r="B224" s="1" t="s">
        <v>218</v>
      </c>
      <c r="C224" s="2" t="s">
        <v>378</v>
      </c>
      <c r="D224" s="19">
        <f>927701.93</f>
        <v>927701.93</v>
      </c>
      <c r="E224" s="8">
        <v>45076</v>
      </c>
      <c r="F224" s="7" t="s">
        <v>377</v>
      </c>
    </row>
    <row r="225" spans="1:6" x14ac:dyDescent="0.3">
      <c r="A225" s="15">
        <v>225</v>
      </c>
      <c r="B225" s="1" t="s">
        <v>219</v>
      </c>
      <c r="C225" s="2" t="s">
        <v>379</v>
      </c>
      <c r="D225" s="19">
        <f>247547.92</f>
        <v>247547.92</v>
      </c>
      <c r="E225" s="8">
        <v>45076</v>
      </c>
      <c r="F225" s="7" t="s">
        <v>377</v>
      </c>
    </row>
    <row r="226" spans="1:6" x14ac:dyDescent="0.3">
      <c r="A226" s="15">
        <v>226</v>
      </c>
      <c r="B226" s="1" t="s">
        <v>220</v>
      </c>
      <c r="C226" s="2" t="s">
        <v>379</v>
      </c>
      <c r="D226" s="19">
        <f>74583.96</f>
        <v>74583.960000000006</v>
      </c>
      <c r="E226" s="8">
        <v>45076</v>
      </c>
      <c r="F226" s="7" t="s">
        <v>377</v>
      </c>
    </row>
    <row r="227" spans="1:6" x14ac:dyDescent="0.3">
      <c r="A227" s="15">
        <v>227</v>
      </c>
      <c r="B227" s="1" t="s">
        <v>221</v>
      </c>
      <c r="C227" s="2" t="s">
        <v>379</v>
      </c>
      <c r="D227" s="19">
        <f>499240.79</f>
        <v>499240.79</v>
      </c>
      <c r="E227" s="8">
        <v>45076</v>
      </c>
      <c r="F227" s="7" t="s">
        <v>377</v>
      </c>
    </row>
    <row r="228" spans="1:6" x14ac:dyDescent="0.3">
      <c r="A228" s="15">
        <v>228</v>
      </c>
      <c r="B228" s="1" t="s">
        <v>222</v>
      </c>
      <c r="C228" s="2" t="s">
        <v>379</v>
      </c>
      <c r="D228" s="19">
        <f>515116.79</f>
        <v>515116.79</v>
      </c>
      <c r="E228" s="8">
        <v>45076</v>
      </c>
      <c r="F228" s="7" t="s">
        <v>377</v>
      </c>
    </row>
    <row r="229" spans="1:6" x14ac:dyDescent="0.3">
      <c r="A229" s="15">
        <v>229</v>
      </c>
      <c r="B229" s="1" t="s">
        <v>223</v>
      </c>
      <c r="C229" s="2" t="s">
        <v>379</v>
      </c>
      <c r="D229" s="19">
        <f>997187.96</f>
        <v>997187.96</v>
      </c>
      <c r="E229" s="8">
        <v>45076</v>
      </c>
      <c r="F229" s="7" t="s">
        <v>377</v>
      </c>
    </row>
    <row r="230" spans="1:6" x14ac:dyDescent="0.3">
      <c r="A230" s="15">
        <v>230</v>
      </c>
      <c r="B230" s="1" t="s">
        <v>224</v>
      </c>
      <c r="C230" s="2" t="s">
        <v>379</v>
      </c>
      <c r="D230" s="19">
        <f>581813.48</f>
        <v>581813.48</v>
      </c>
      <c r="E230" s="8">
        <v>45076</v>
      </c>
      <c r="F230" s="7" t="s">
        <v>377</v>
      </c>
    </row>
    <row r="231" spans="1:6" ht="37.5" x14ac:dyDescent="0.3">
      <c r="A231" s="15">
        <v>231</v>
      </c>
      <c r="B231" s="1" t="s">
        <v>225</v>
      </c>
      <c r="C231" s="2" t="s">
        <v>378</v>
      </c>
      <c r="D231" s="19">
        <f>365012.56</f>
        <v>365012.56</v>
      </c>
      <c r="E231" s="8">
        <v>45076</v>
      </c>
      <c r="F231" s="7" t="s">
        <v>377</v>
      </c>
    </row>
    <row r="232" spans="1:6" x14ac:dyDescent="0.3">
      <c r="A232" s="15">
        <v>232</v>
      </c>
      <c r="B232" s="1" t="s">
        <v>226</v>
      </c>
      <c r="C232" s="2" t="s">
        <v>379</v>
      </c>
      <c r="D232" s="19">
        <f>3980354.59</f>
        <v>3980354.59</v>
      </c>
      <c r="E232" s="8">
        <v>45076</v>
      </c>
      <c r="F232" s="7" t="s">
        <v>377</v>
      </c>
    </row>
    <row r="233" spans="1:6" x14ac:dyDescent="0.3">
      <c r="A233" s="15">
        <v>233</v>
      </c>
      <c r="B233" s="1" t="s">
        <v>227</v>
      </c>
      <c r="C233" s="2" t="s">
        <v>379</v>
      </c>
      <c r="D233" s="19">
        <f>640262.45</f>
        <v>640262.44999999995</v>
      </c>
      <c r="E233" s="8">
        <v>45076</v>
      </c>
      <c r="F233" s="7" t="s">
        <v>377</v>
      </c>
    </row>
    <row r="234" spans="1:6" ht="37.5" x14ac:dyDescent="0.3">
      <c r="A234" s="15">
        <v>234</v>
      </c>
      <c r="B234" s="1" t="s">
        <v>228</v>
      </c>
      <c r="C234" s="2" t="s">
        <v>378</v>
      </c>
      <c r="D234" s="19">
        <f>1284682.06+2182910.42</f>
        <v>3467592.48</v>
      </c>
      <c r="E234" s="8">
        <v>45076</v>
      </c>
      <c r="F234" s="7" t="s">
        <v>377</v>
      </c>
    </row>
    <row r="235" spans="1:6" x14ac:dyDescent="0.3">
      <c r="A235" s="15">
        <v>235</v>
      </c>
      <c r="B235" s="1" t="s">
        <v>229</v>
      </c>
      <c r="C235" s="2" t="s">
        <v>379</v>
      </c>
      <c r="D235" s="19">
        <f>88922.59</f>
        <v>88922.59</v>
      </c>
      <c r="E235" s="8">
        <v>45076</v>
      </c>
      <c r="F235" s="7" t="s">
        <v>377</v>
      </c>
    </row>
    <row r="236" spans="1:6" x14ac:dyDescent="0.3">
      <c r="A236" s="15">
        <v>236</v>
      </c>
      <c r="B236" s="1" t="s">
        <v>230</v>
      </c>
      <c r="C236" s="2" t="s">
        <v>379</v>
      </c>
      <c r="D236" s="19">
        <f>406366.72</f>
        <v>406366.71999999997</v>
      </c>
      <c r="E236" s="8">
        <v>45076</v>
      </c>
      <c r="F236" s="7" t="s">
        <v>377</v>
      </c>
    </row>
    <row r="237" spans="1:6" x14ac:dyDescent="0.3">
      <c r="A237" s="15">
        <v>237</v>
      </c>
      <c r="B237" s="1" t="s">
        <v>231</v>
      </c>
      <c r="C237" s="2" t="s">
        <v>379</v>
      </c>
      <c r="D237" s="19">
        <f>476906.76</f>
        <v>476906.76</v>
      </c>
      <c r="E237" s="8">
        <v>45076</v>
      </c>
      <c r="F237" s="7" t="s">
        <v>377</v>
      </c>
    </row>
    <row r="238" spans="1:6" x14ac:dyDescent="0.3">
      <c r="A238" s="15">
        <v>238</v>
      </c>
      <c r="B238" s="1" t="s">
        <v>232</v>
      </c>
      <c r="C238" s="2" t="s">
        <v>379</v>
      </c>
      <c r="D238" s="19">
        <f>59520.76</f>
        <v>59520.76</v>
      </c>
      <c r="E238" s="8">
        <v>45076</v>
      </c>
      <c r="F238" s="7" t="s">
        <v>377</v>
      </c>
    </row>
    <row r="239" spans="1:6" ht="37.5" x14ac:dyDescent="0.3">
      <c r="A239" s="15">
        <v>239</v>
      </c>
      <c r="B239" s="1" t="s">
        <v>233</v>
      </c>
      <c r="C239" s="2" t="s">
        <v>378</v>
      </c>
      <c r="D239" s="19">
        <f>3101077.48</f>
        <v>3101077.48</v>
      </c>
      <c r="E239" s="8">
        <v>45076</v>
      </c>
      <c r="F239" s="7" t="s">
        <v>377</v>
      </c>
    </row>
    <row r="240" spans="1:6" ht="37.5" x14ac:dyDescent="0.3">
      <c r="A240" s="15">
        <v>240</v>
      </c>
      <c r="B240" s="1" t="s">
        <v>234</v>
      </c>
      <c r="C240" s="2" t="s">
        <v>378</v>
      </c>
      <c r="D240" s="19">
        <f>856649.26</f>
        <v>856649.26</v>
      </c>
      <c r="E240" s="8">
        <v>45076</v>
      </c>
      <c r="F240" s="7" t="s">
        <v>377</v>
      </c>
    </row>
    <row r="241" spans="1:6" ht="37.5" x14ac:dyDescent="0.3">
      <c r="A241" s="15">
        <v>241</v>
      </c>
      <c r="B241" s="1" t="s">
        <v>235</v>
      </c>
      <c r="C241" s="2" t="s">
        <v>378</v>
      </c>
      <c r="D241" s="19">
        <f>2156916.81</f>
        <v>2156916.81</v>
      </c>
      <c r="E241" s="8">
        <v>45076</v>
      </c>
      <c r="F241" s="7" t="s">
        <v>377</v>
      </c>
    </row>
    <row r="242" spans="1:6" x14ac:dyDescent="0.3">
      <c r="A242" s="15">
        <v>242</v>
      </c>
      <c r="B242" s="1" t="s">
        <v>236</v>
      </c>
      <c r="C242" s="2" t="s">
        <v>379</v>
      </c>
      <c r="D242" s="19">
        <f>385224.88</f>
        <v>385224.88</v>
      </c>
      <c r="E242" s="8">
        <v>45076</v>
      </c>
      <c r="F242" s="7" t="s">
        <v>377</v>
      </c>
    </row>
    <row r="243" spans="1:6" x14ac:dyDescent="0.3">
      <c r="A243" s="15">
        <v>243</v>
      </c>
      <c r="B243" s="1" t="s">
        <v>237</v>
      </c>
      <c r="C243" s="2" t="s">
        <v>379</v>
      </c>
      <c r="D243" s="19">
        <f>1261498.79</f>
        <v>1261498.79</v>
      </c>
      <c r="E243" s="8">
        <v>45076</v>
      </c>
      <c r="F243" s="7" t="s">
        <v>377</v>
      </c>
    </row>
    <row r="244" spans="1:6" ht="37.5" x14ac:dyDescent="0.3">
      <c r="A244" s="15">
        <v>244</v>
      </c>
      <c r="B244" s="1" t="s">
        <v>238</v>
      </c>
      <c r="C244" s="2" t="s">
        <v>378</v>
      </c>
      <c r="D244" s="19">
        <f>1254381.83</f>
        <v>1254381.83</v>
      </c>
      <c r="E244" s="8">
        <v>45076</v>
      </c>
      <c r="F244" s="7" t="s">
        <v>377</v>
      </c>
    </row>
    <row r="245" spans="1:6" x14ac:dyDescent="0.3">
      <c r="A245" s="15">
        <v>245</v>
      </c>
      <c r="B245" s="1" t="s">
        <v>239</v>
      </c>
      <c r="C245" s="2" t="s">
        <v>379</v>
      </c>
      <c r="D245" s="19">
        <f>758631.54</f>
        <v>758631.54</v>
      </c>
      <c r="E245" s="8">
        <v>45076</v>
      </c>
      <c r="F245" s="7" t="s">
        <v>377</v>
      </c>
    </row>
    <row r="246" spans="1:6" ht="37.5" x14ac:dyDescent="0.3">
      <c r="A246" s="15">
        <v>246</v>
      </c>
      <c r="B246" s="1" t="s">
        <v>240</v>
      </c>
      <c r="C246" s="2" t="s">
        <v>378</v>
      </c>
      <c r="D246" s="19">
        <f>1336451.18</f>
        <v>1336451.18</v>
      </c>
      <c r="E246" s="8">
        <v>45076</v>
      </c>
      <c r="F246" s="7" t="s">
        <v>377</v>
      </c>
    </row>
    <row r="247" spans="1:6" ht="37.5" x14ac:dyDescent="0.3">
      <c r="A247" s="15">
        <v>247</v>
      </c>
      <c r="B247" s="1" t="s">
        <v>241</v>
      </c>
      <c r="C247" s="2" t="s">
        <v>378</v>
      </c>
      <c r="D247" s="19">
        <f>10652636.81</f>
        <v>10652636.810000001</v>
      </c>
      <c r="E247" s="8">
        <v>45076</v>
      </c>
      <c r="F247" s="7" t="s">
        <v>377</v>
      </c>
    </row>
    <row r="248" spans="1:6" ht="37.5" x14ac:dyDescent="0.3">
      <c r="A248" s="15">
        <v>248</v>
      </c>
      <c r="B248" s="1" t="s">
        <v>242</v>
      </c>
      <c r="C248" s="2" t="s">
        <v>378</v>
      </c>
      <c r="D248" s="19">
        <f>1117425.96</f>
        <v>1117425.96</v>
      </c>
      <c r="E248" s="8">
        <v>45076</v>
      </c>
      <c r="F248" s="7" t="s">
        <v>377</v>
      </c>
    </row>
    <row r="249" spans="1:6" ht="37.5" x14ac:dyDescent="0.3">
      <c r="A249" s="15">
        <v>249</v>
      </c>
      <c r="B249" s="1" t="s">
        <v>243</v>
      </c>
      <c r="C249" s="2" t="s">
        <v>378</v>
      </c>
      <c r="D249" s="19">
        <f>1732206.6</f>
        <v>1732206.6</v>
      </c>
      <c r="E249" s="8">
        <v>45076</v>
      </c>
      <c r="F249" s="7" t="s">
        <v>377</v>
      </c>
    </row>
    <row r="250" spans="1:6" x14ac:dyDescent="0.3">
      <c r="A250" s="15">
        <v>250</v>
      </c>
      <c r="B250" s="1" t="s">
        <v>244</v>
      </c>
      <c r="C250" s="2" t="s">
        <v>379</v>
      </c>
      <c r="D250" s="19">
        <f>161282.09</f>
        <v>161282.09</v>
      </c>
      <c r="E250" s="8">
        <v>45076</v>
      </c>
      <c r="F250" s="7" t="s">
        <v>377</v>
      </c>
    </row>
    <row r="251" spans="1:6" x14ac:dyDescent="0.3">
      <c r="A251" s="15">
        <v>251</v>
      </c>
      <c r="B251" s="1" t="s">
        <v>245</v>
      </c>
      <c r="C251" s="2" t="s">
        <v>379</v>
      </c>
      <c r="D251" s="19">
        <f>17498.75</f>
        <v>17498.75</v>
      </c>
      <c r="E251" s="8">
        <v>45076</v>
      </c>
      <c r="F251" s="7" t="s">
        <v>377</v>
      </c>
    </row>
    <row r="252" spans="1:6" x14ac:dyDescent="0.3">
      <c r="A252" s="15">
        <v>252</v>
      </c>
      <c r="B252" s="1" t="s">
        <v>246</v>
      </c>
      <c r="C252" s="2" t="s">
        <v>379</v>
      </c>
      <c r="D252" s="19">
        <f>60584.4</f>
        <v>60584.4</v>
      </c>
      <c r="E252" s="8">
        <v>45076</v>
      </c>
      <c r="F252" s="7" t="s">
        <v>377</v>
      </c>
    </row>
    <row r="253" spans="1:6" ht="37.5" x14ac:dyDescent="0.3">
      <c r="A253" s="15">
        <v>253</v>
      </c>
      <c r="B253" s="1" t="s">
        <v>247</v>
      </c>
      <c r="C253" s="2" t="s">
        <v>379</v>
      </c>
      <c r="D253" s="19">
        <f>221364.71</f>
        <v>221364.71</v>
      </c>
      <c r="E253" s="8">
        <v>45125</v>
      </c>
      <c r="F253" s="7" t="s">
        <v>377</v>
      </c>
    </row>
    <row r="254" spans="1:6" x14ac:dyDescent="0.3">
      <c r="A254" s="15">
        <v>254</v>
      </c>
      <c r="B254" s="1" t="s">
        <v>248</v>
      </c>
      <c r="C254" s="2" t="s">
        <v>379</v>
      </c>
      <c r="D254" s="19">
        <f>112263.23</f>
        <v>112263.23</v>
      </c>
      <c r="E254" s="8">
        <v>45125</v>
      </c>
      <c r="F254" s="7" t="s">
        <v>377</v>
      </c>
    </row>
    <row r="255" spans="1:6" x14ac:dyDescent="0.3">
      <c r="A255" s="15">
        <v>255</v>
      </c>
      <c r="B255" s="1" t="s">
        <v>249</v>
      </c>
      <c r="C255" s="2" t="s">
        <v>379</v>
      </c>
      <c r="D255" s="19">
        <f>2552602.1</f>
        <v>2552602.1</v>
      </c>
      <c r="E255" s="8">
        <v>45125</v>
      </c>
      <c r="F255" s="7" t="s">
        <v>377</v>
      </c>
    </row>
    <row r="256" spans="1:6" x14ac:dyDescent="0.3">
      <c r="A256" s="15">
        <v>256</v>
      </c>
      <c r="B256" s="1" t="s">
        <v>250</v>
      </c>
      <c r="C256" s="2" t="s">
        <v>379</v>
      </c>
      <c r="D256" s="19">
        <f>1012216.57</f>
        <v>1012216.57</v>
      </c>
      <c r="E256" s="8">
        <v>45125</v>
      </c>
      <c r="F256" s="7" t="s">
        <v>377</v>
      </c>
    </row>
    <row r="257" spans="1:6" ht="37.5" x14ac:dyDescent="0.3">
      <c r="A257" s="15">
        <v>257</v>
      </c>
      <c r="B257" s="1" t="s">
        <v>251</v>
      </c>
      <c r="C257" s="2" t="s">
        <v>378</v>
      </c>
      <c r="D257" s="19">
        <f>2742559.96</f>
        <v>2742559.96</v>
      </c>
      <c r="E257" s="8">
        <v>45125</v>
      </c>
      <c r="F257" s="7" t="s">
        <v>377</v>
      </c>
    </row>
    <row r="258" spans="1:6" x14ac:dyDescent="0.3">
      <c r="A258" s="15">
        <v>258</v>
      </c>
      <c r="B258" s="1" t="s">
        <v>252</v>
      </c>
      <c r="C258" s="2" t="s">
        <v>379</v>
      </c>
      <c r="D258" s="19">
        <f>1096947.89</f>
        <v>1096947.8899999999</v>
      </c>
      <c r="E258" s="8">
        <v>45125</v>
      </c>
      <c r="F258" s="7" t="s">
        <v>377</v>
      </c>
    </row>
    <row r="259" spans="1:6" ht="37.5" x14ac:dyDescent="0.3">
      <c r="A259" s="15">
        <v>259</v>
      </c>
      <c r="B259" s="1" t="s">
        <v>253</v>
      </c>
      <c r="C259" s="2" t="s">
        <v>378</v>
      </c>
      <c r="D259" s="19">
        <f>16104685.55</f>
        <v>16104685.550000001</v>
      </c>
      <c r="E259" s="8">
        <v>45125</v>
      </c>
      <c r="F259" s="7" t="s">
        <v>377</v>
      </c>
    </row>
    <row r="260" spans="1:6" x14ac:dyDescent="0.3">
      <c r="A260" s="15">
        <v>260</v>
      </c>
      <c r="B260" s="1" t="s">
        <v>254</v>
      </c>
      <c r="C260" s="2" t="s">
        <v>379</v>
      </c>
      <c r="D260" s="19">
        <f>3016859.38</f>
        <v>3016859.38</v>
      </c>
      <c r="E260" s="8">
        <v>45125</v>
      </c>
      <c r="F260" s="7" t="s">
        <v>377</v>
      </c>
    </row>
    <row r="261" spans="1:6" x14ac:dyDescent="0.3">
      <c r="A261" s="15">
        <v>261</v>
      </c>
      <c r="B261" s="1" t="s">
        <v>255</v>
      </c>
      <c r="C261" s="2" t="s">
        <v>379</v>
      </c>
      <c r="D261" s="19">
        <f>152571.46+5341566.74</f>
        <v>5494138.2000000002</v>
      </c>
      <c r="E261" s="8">
        <v>45125</v>
      </c>
      <c r="F261" s="7" t="s">
        <v>377</v>
      </c>
    </row>
    <row r="262" spans="1:6" x14ac:dyDescent="0.3">
      <c r="A262" s="15">
        <v>262</v>
      </c>
      <c r="B262" s="1" t="s">
        <v>256</v>
      </c>
      <c r="C262" s="2" t="s">
        <v>379</v>
      </c>
      <c r="D262" s="19">
        <f>4379118.36</f>
        <v>4379118.3600000003</v>
      </c>
      <c r="E262" s="8">
        <v>45125</v>
      </c>
      <c r="F262" s="7" t="s">
        <v>377</v>
      </c>
    </row>
    <row r="263" spans="1:6" ht="37.5" x14ac:dyDescent="0.3">
      <c r="A263" s="15">
        <v>263</v>
      </c>
      <c r="B263" s="1" t="s">
        <v>257</v>
      </c>
      <c r="C263" s="2" t="s">
        <v>378</v>
      </c>
      <c r="D263" s="19">
        <f>1030336.92</f>
        <v>1030336.92</v>
      </c>
      <c r="E263" s="8">
        <v>45125</v>
      </c>
      <c r="F263" s="7" t="s">
        <v>377</v>
      </c>
    </row>
    <row r="264" spans="1:6" ht="37.5" x14ac:dyDescent="0.3">
      <c r="A264" s="15">
        <v>264</v>
      </c>
      <c r="B264" s="1" t="s">
        <v>258</v>
      </c>
      <c r="C264" s="2" t="s">
        <v>378</v>
      </c>
      <c r="D264" s="19">
        <f>6143327.95</f>
        <v>6143327.9500000002</v>
      </c>
      <c r="E264" s="8">
        <v>45125</v>
      </c>
      <c r="F264" s="7" t="s">
        <v>377</v>
      </c>
    </row>
    <row r="265" spans="1:6" ht="37.5" x14ac:dyDescent="0.3">
      <c r="A265" s="15">
        <v>265</v>
      </c>
      <c r="B265" s="1" t="s">
        <v>259</v>
      </c>
      <c r="C265" s="2" t="s">
        <v>378</v>
      </c>
      <c r="D265" s="19">
        <f>1400415.65</f>
        <v>1400415.65</v>
      </c>
      <c r="E265" s="8">
        <v>45125</v>
      </c>
      <c r="F265" s="7" t="s">
        <v>377</v>
      </c>
    </row>
    <row r="266" spans="1:6" ht="37.5" x14ac:dyDescent="0.3">
      <c r="A266" s="15">
        <v>266</v>
      </c>
      <c r="B266" s="1" t="s">
        <v>260</v>
      </c>
      <c r="C266" s="2" t="s">
        <v>378</v>
      </c>
      <c r="D266" s="19">
        <f>12847115.06</f>
        <v>12847115.060000001</v>
      </c>
      <c r="E266" s="8">
        <v>45125</v>
      </c>
      <c r="F266" s="7" t="s">
        <v>377</v>
      </c>
    </row>
    <row r="267" spans="1:6" ht="37.5" x14ac:dyDescent="0.3">
      <c r="A267" s="15">
        <v>267</v>
      </c>
      <c r="B267" s="1" t="s">
        <v>261</v>
      </c>
      <c r="C267" s="2" t="s">
        <v>379</v>
      </c>
      <c r="D267" s="19">
        <f>86644.92</f>
        <v>86644.92</v>
      </c>
      <c r="E267" s="8">
        <v>45125</v>
      </c>
      <c r="F267" s="7" t="s">
        <v>377</v>
      </c>
    </row>
    <row r="268" spans="1:6" ht="37.5" x14ac:dyDescent="0.3">
      <c r="A268" s="15">
        <v>268</v>
      </c>
      <c r="B268" s="1" t="s">
        <v>365</v>
      </c>
      <c r="C268" s="2" t="s">
        <v>378</v>
      </c>
      <c r="D268" s="19">
        <f>91713.2</f>
        <v>91713.2</v>
      </c>
      <c r="E268" s="8">
        <v>45125</v>
      </c>
      <c r="F268" s="7" t="s">
        <v>377</v>
      </c>
    </row>
    <row r="269" spans="1:6" x14ac:dyDescent="0.3">
      <c r="A269" s="15">
        <v>269</v>
      </c>
      <c r="B269" s="1" t="s">
        <v>262</v>
      </c>
      <c r="C269" s="2" t="s">
        <v>379</v>
      </c>
      <c r="D269" s="19">
        <f>3321643.93</f>
        <v>3321643.93</v>
      </c>
      <c r="E269" s="8">
        <v>45125</v>
      </c>
      <c r="F269" s="7" t="s">
        <v>377</v>
      </c>
    </row>
    <row r="270" spans="1:6" x14ac:dyDescent="0.3">
      <c r="A270" s="15">
        <v>270</v>
      </c>
      <c r="B270" s="1" t="s">
        <v>263</v>
      </c>
      <c r="C270" s="2" t="s">
        <v>379</v>
      </c>
      <c r="D270" s="19">
        <f>199141.19</f>
        <v>199141.19</v>
      </c>
      <c r="E270" s="8">
        <v>45125</v>
      </c>
      <c r="F270" s="7" t="s">
        <v>377</v>
      </c>
    </row>
    <row r="271" spans="1:6" x14ac:dyDescent="0.3">
      <c r="A271" s="15">
        <v>271</v>
      </c>
      <c r="B271" s="1" t="s">
        <v>264</v>
      </c>
      <c r="C271" s="2" t="s">
        <v>379</v>
      </c>
      <c r="D271" s="19">
        <f>311659.88</f>
        <v>311659.88</v>
      </c>
      <c r="E271" s="8">
        <v>45125</v>
      </c>
      <c r="F271" s="7" t="s">
        <v>377</v>
      </c>
    </row>
    <row r="272" spans="1:6" ht="37.5" x14ac:dyDescent="0.3">
      <c r="A272" s="15">
        <v>272</v>
      </c>
      <c r="B272" s="1" t="s">
        <v>265</v>
      </c>
      <c r="C272" s="2" t="s">
        <v>378</v>
      </c>
      <c r="D272" s="19">
        <f>4703223.85</f>
        <v>4703223.8499999996</v>
      </c>
      <c r="E272" s="8">
        <v>45125</v>
      </c>
      <c r="F272" s="7" t="s">
        <v>377</v>
      </c>
    </row>
    <row r="273" spans="1:6" x14ac:dyDescent="0.3">
      <c r="A273" s="15">
        <v>273</v>
      </c>
      <c r="B273" s="1" t="s">
        <v>266</v>
      </c>
      <c r="C273" s="2" t="s">
        <v>379</v>
      </c>
      <c r="D273" s="19">
        <f>426747.5</f>
        <v>426747.5</v>
      </c>
      <c r="E273" s="8">
        <v>45125</v>
      </c>
      <c r="F273" s="7" t="s">
        <v>377</v>
      </c>
    </row>
    <row r="274" spans="1:6" ht="37.5" x14ac:dyDescent="0.3">
      <c r="A274" s="15">
        <v>274</v>
      </c>
      <c r="B274" s="1" t="s">
        <v>267</v>
      </c>
      <c r="C274" s="2" t="s">
        <v>378</v>
      </c>
      <c r="D274" s="19">
        <f>3194175.63</f>
        <v>3194175.63</v>
      </c>
      <c r="E274" s="8">
        <v>45125</v>
      </c>
      <c r="F274" s="7" t="s">
        <v>377</v>
      </c>
    </row>
    <row r="275" spans="1:6" ht="37.5" x14ac:dyDescent="0.3">
      <c r="A275" s="15">
        <v>275</v>
      </c>
      <c r="B275" s="1" t="s">
        <v>268</v>
      </c>
      <c r="C275" s="2" t="s">
        <v>378</v>
      </c>
      <c r="D275" s="19">
        <f>1378230.08</f>
        <v>1378230.08</v>
      </c>
      <c r="E275" s="8">
        <v>45125</v>
      </c>
      <c r="F275" s="7" t="s">
        <v>377</v>
      </c>
    </row>
    <row r="276" spans="1:6" ht="37.5" x14ac:dyDescent="0.3">
      <c r="A276" s="15">
        <v>276</v>
      </c>
      <c r="B276" s="1" t="s">
        <v>269</v>
      </c>
      <c r="C276" s="2" t="s">
        <v>378</v>
      </c>
      <c r="D276" s="19">
        <f>2444362.7</f>
        <v>2444362.7000000002</v>
      </c>
      <c r="E276" s="8">
        <v>45125</v>
      </c>
      <c r="F276" s="7" t="s">
        <v>377</v>
      </c>
    </row>
    <row r="277" spans="1:6" ht="37.5" x14ac:dyDescent="0.3">
      <c r="A277" s="15">
        <v>277</v>
      </c>
      <c r="B277" s="1" t="s">
        <v>270</v>
      </c>
      <c r="C277" s="2" t="s">
        <v>378</v>
      </c>
      <c r="D277" s="19">
        <f>3971925.57</f>
        <v>3971925.57</v>
      </c>
      <c r="E277" s="8">
        <v>45125</v>
      </c>
      <c r="F277" s="7" t="s">
        <v>377</v>
      </c>
    </row>
    <row r="278" spans="1:6" x14ac:dyDescent="0.3">
      <c r="A278" s="15">
        <v>278</v>
      </c>
      <c r="B278" s="1" t="s">
        <v>271</v>
      </c>
      <c r="C278" s="2" t="s">
        <v>379</v>
      </c>
      <c r="D278" s="19">
        <f>1481830.85</f>
        <v>1481830.85</v>
      </c>
      <c r="E278" s="8">
        <v>45125</v>
      </c>
      <c r="F278" s="7" t="s">
        <v>377</v>
      </c>
    </row>
    <row r="279" spans="1:6" x14ac:dyDescent="0.3">
      <c r="A279" s="15">
        <v>279</v>
      </c>
      <c r="B279" s="1" t="s">
        <v>272</v>
      </c>
      <c r="C279" s="2" t="s">
        <v>379</v>
      </c>
      <c r="D279" s="19">
        <f>1045350.54</f>
        <v>1045350.54</v>
      </c>
      <c r="E279" s="8">
        <v>45125</v>
      </c>
      <c r="F279" s="7" t="s">
        <v>377</v>
      </c>
    </row>
    <row r="280" spans="1:6" ht="37.5" x14ac:dyDescent="0.3">
      <c r="A280" s="15">
        <v>280</v>
      </c>
      <c r="B280" s="1" t="s">
        <v>273</v>
      </c>
      <c r="C280" s="2" t="s">
        <v>378</v>
      </c>
      <c r="D280" s="19">
        <f>2591106.3</f>
        <v>2591106.2999999998</v>
      </c>
      <c r="E280" s="8">
        <v>45125</v>
      </c>
      <c r="F280" s="7" t="s">
        <v>377</v>
      </c>
    </row>
    <row r="281" spans="1:6" x14ac:dyDescent="0.3">
      <c r="A281" s="15">
        <v>281</v>
      </c>
      <c r="B281" s="1" t="s">
        <v>274</v>
      </c>
      <c r="C281" s="2" t="s">
        <v>379</v>
      </c>
      <c r="D281" s="19">
        <f>27506.66</f>
        <v>27506.66</v>
      </c>
      <c r="E281" s="8">
        <v>45125</v>
      </c>
      <c r="F281" s="7" t="s">
        <v>377</v>
      </c>
    </row>
    <row r="282" spans="1:6" ht="37.5" x14ac:dyDescent="0.3">
      <c r="A282" s="15">
        <v>282</v>
      </c>
      <c r="B282" s="1" t="s">
        <v>275</v>
      </c>
      <c r="C282" s="2" t="s">
        <v>378</v>
      </c>
      <c r="D282" s="19">
        <f>1692224.71</f>
        <v>1692224.71</v>
      </c>
      <c r="E282" s="8">
        <v>45125</v>
      </c>
      <c r="F282" s="7" t="s">
        <v>377</v>
      </c>
    </row>
    <row r="283" spans="1:6" ht="37.5" x14ac:dyDescent="0.3">
      <c r="A283" s="15">
        <v>283</v>
      </c>
      <c r="B283" s="1" t="s">
        <v>276</v>
      </c>
      <c r="C283" s="2" t="s">
        <v>378</v>
      </c>
      <c r="D283" s="19">
        <f>9280173.47</f>
        <v>9280173.4700000007</v>
      </c>
      <c r="E283" s="8">
        <v>45125</v>
      </c>
      <c r="F283" s="7" t="s">
        <v>377</v>
      </c>
    </row>
    <row r="284" spans="1:6" ht="37.5" x14ac:dyDescent="0.3">
      <c r="A284" s="15">
        <v>284</v>
      </c>
      <c r="B284" s="1" t="s">
        <v>277</v>
      </c>
      <c r="C284" s="2" t="s">
        <v>378</v>
      </c>
      <c r="D284" s="19">
        <f>2917346.06</f>
        <v>2917346.06</v>
      </c>
      <c r="E284" s="8">
        <v>45125</v>
      </c>
      <c r="F284" s="7" t="s">
        <v>377</v>
      </c>
    </row>
    <row r="285" spans="1:6" ht="37.5" x14ac:dyDescent="0.3">
      <c r="A285" s="15">
        <v>285</v>
      </c>
      <c r="B285" s="1" t="s">
        <v>278</v>
      </c>
      <c r="C285" s="2" t="s">
        <v>378</v>
      </c>
      <c r="D285" s="19">
        <f>4906347.88</f>
        <v>4906347.88</v>
      </c>
      <c r="E285" s="8">
        <v>45125</v>
      </c>
      <c r="F285" s="7" t="s">
        <v>377</v>
      </c>
    </row>
    <row r="286" spans="1:6" ht="37.5" x14ac:dyDescent="0.3">
      <c r="A286" s="15">
        <v>286</v>
      </c>
      <c r="B286" s="1" t="s">
        <v>279</v>
      </c>
      <c r="C286" s="2" t="s">
        <v>379</v>
      </c>
      <c r="D286" s="19">
        <f>571109.86</f>
        <v>571109.86</v>
      </c>
      <c r="E286" s="8">
        <v>45125</v>
      </c>
      <c r="F286" s="7" t="s">
        <v>377</v>
      </c>
    </row>
    <row r="287" spans="1:6" ht="37.5" x14ac:dyDescent="0.3">
      <c r="A287" s="15">
        <v>287</v>
      </c>
      <c r="B287" s="1" t="s">
        <v>280</v>
      </c>
      <c r="C287" s="2" t="s">
        <v>378</v>
      </c>
      <c r="D287" s="19">
        <f>2948169.79</f>
        <v>2948169.79</v>
      </c>
      <c r="E287" s="8">
        <v>45125</v>
      </c>
      <c r="F287" s="7" t="s">
        <v>377</v>
      </c>
    </row>
    <row r="288" spans="1:6" ht="37.5" x14ac:dyDescent="0.3">
      <c r="A288" s="15">
        <v>288</v>
      </c>
      <c r="B288" s="1" t="s">
        <v>281</v>
      </c>
      <c r="C288" s="2" t="s">
        <v>378</v>
      </c>
      <c r="D288" s="19">
        <f>449246.44</f>
        <v>449246.44</v>
      </c>
      <c r="E288" s="8">
        <v>45125</v>
      </c>
      <c r="F288" s="7" t="s">
        <v>377</v>
      </c>
    </row>
    <row r="289" spans="1:6" ht="37.5" x14ac:dyDescent="0.3">
      <c r="A289" s="15">
        <v>289</v>
      </c>
      <c r="B289" s="1" t="s">
        <v>282</v>
      </c>
      <c r="C289" s="2" t="s">
        <v>378</v>
      </c>
      <c r="D289" s="19">
        <f>2616178.39</f>
        <v>2616178.39</v>
      </c>
      <c r="E289" s="8">
        <v>45125</v>
      </c>
      <c r="F289" s="7" t="s">
        <v>377</v>
      </c>
    </row>
    <row r="290" spans="1:6" ht="37.5" x14ac:dyDescent="0.3">
      <c r="A290" s="15">
        <v>290</v>
      </c>
      <c r="B290" s="1" t="s">
        <v>366</v>
      </c>
      <c r="C290" s="2" t="s">
        <v>378</v>
      </c>
      <c r="D290" s="19">
        <f>680884.2+6505008.59</f>
        <v>7185892.79</v>
      </c>
      <c r="E290" s="8">
        <v>45125</v>
      </c>
      <c r="F290" s="7" t="s">
        <v>377</v>
      </c>
    </row>
    <row r="291" spans="1:6" x14ac:dyDescent="0.3">
      <c r="A291" s="15">
        <v>291</v>
      </c>
      <c r="B291" s="1" t="s">
        <v>283</v>
      </c>
      <c r="C291" s="2" t="s">
        <v>379</v>
      </c>
      <c r="D291" s="19">
        <f>14329.26</f>
        <v>14329.26</v>
      </c>
      <c r="E291" s="8">
        <v>45125</v>
      </c>
      <c r="F291" s="7" t="s">
        <v>377</v>
      </c>
    </row>
    <row r="292" spans="1:6" x14ac:dyDescent="0.3">
      <c r="A292" s="15">
        <v>292</v>
      </c>
      <c r="B292" s="1" t="s">
        <v>284</v>
      </c>
      <c r="C292" s="2" t="s">
        <v>379</v>
      </c>
      <c r="D292" s="19">
        <f>589463.03</f>
        <v>589463.03</v>
      </c>
      <c r="E292" s="8">
        <v>45125</v>
      </c>
      <c r="F292" s="7" t="s">
        <v>377</v>
      </c>
    </row>
    <row r="293" spans="1:6" x14ac:dyDescent="0.3">
      <c r="A293" s="15">
        <v>293</v>
      </c>
      <c r="B293" s="1" t="s">
        <v>285</v>
      </c>
      <c r="C293" s="2" t="s">
        <v>379</v>
      </c>
      <c r="D293" s="19">
        <f>258964.54</f>
        <v>258964.54</v>
      </c>
      <c r="E293" s="8">
        <v>45125</v>
      </c>
      <c r="F293" s="7" t="s">
        <v>377</v>
      </c>
    </row>
    <row r="294" spans="1:6" x14ac:dyDescent="0.3">
      <c r="A294" s="15">
        <v>294</v>
      </c>
      <c r="B294" s="1" t="s">
        <v>286</v>
      </c>
      <c r="C294" s="2" t="s">
        <v>379</v>
      </c>
      <c r="D294" s="19">
        <f>17312.23</f>
        <v>17312.23</v>
      </c>
      <c r="E294" s="8">
        <v>45125</v>
      </c>
      <c r="F294" s="7" t="s">
        <v>377</v>
      </c>
    </row>
    <row r="295" spans="1:6" x14ac:dyDescent="0.3">
      <c r="A295" s="15">
        <v>295</v>
      </c>
      <c r="B295" s="1" t="s">
        <v>287</v>
      </c>
      <c r="C295" s="2" t="s">
        <v>379</v>
      </c>
      <c r="D295" s="19">
        <f>528332.89</f>
        <v>528332.89</v>
      </c>
      <c r="E295" s="8">
        <v>45125</v>
      </c>
      <c r="F295" s="7" t="s">
        <v>377</v>
      </c>
    </row>
    <row r="296" spans="1:6" x14ac:dyDescent="0.3">
      <c r="A296" s="15">
        <v>296</v>
      </c>
      <c r="B296" s="1" t="s">
        <v>288</v>
      </c>
      <c r="C296" s="2" t="s">
        <v>379</v>
      </c>
      <c r="D296" s="19">
        <f>193147.16</f>
        <v>193147.16</v>
      </c>
      <c r="E296" s="8">
        <v>45125</v>
      </c>
      <c r="F296" s="7" t="s">
        <v>377</v>
      </c>
    </row>
    <row r="297" spans="1:6" x14ac:dyDescent="0.3">
      <c r="A297" s="15">
        <v>297</v>
      </c>
      <c r="B297" s="1" t="s">
        <v>289</v>
      </c>
      <c r="C297" s="2" t="s">
        <v>379</v>
      </c>
      <c r="D297" s="19">
        <f>1278987.01</f>
        <v>1278987.01</v>
      </c>
      <c r="E297" s="8">
        <v>45125</v>
      </c>
      <c r="F297" s="7" t="s">
        <v>377</v>
      </c>
    </row>
    <row r="298" spans="1:6" ht="37.5" x14ac:dyDescent="0.3">
      <c r="A298" s="15">
        <v>298</v>
      </c>
      <c r="B298" s="1" t="s">
        <v>290</v>
      </c>
      <c r="C298" s="2" t="s">
        <v>378</v>
      </c>
      <c r="D298" s="19">
        <f>4785404.96</f>
        <v>4785404.96</v>
      </c>
      <c r="E298" s="8">
        <v>45125</v>
      </c>
      <c r="F298" s="7" t="s">
        <v>377</v>
      </c>
    </row>
    <row r="299" spans="1:6" ht="37.5" x14ac:dyDescent="0.3">
      <c r="A299" s="15">
        <v>299</v>
      </c>
      <c r="B299" s="1" t="s">
        <v>291</v>
      </c>
      <c r="C299" s="2" t="s">
        <v>378</v>
      </c>
      <c r="D299" s="19">
        <f>3085703.09</f>
        <v>3085703.09</v>
      </c>
      <c r="E299" s="8">
        <v>45125</v>
      </c>
      <c r="F299" s="7" t="s">
        <v>377</v>
      </c>
    </row>
    <row r="300" spans="1:6" x14ac:dyDescent="0.3">
      <c r="A300" s="15">
        <v>300</v>
      </c>
      <c r="B300" s="1" t="s">
        <v>292</v>
      </c>
      <c r="C300" s="2" t="s">
        <v>379</v>
      </c>
      <c r="D300" s="19">
        <f>45090.73</f>
        <v>45090.73</v>
      </c>
      <c r="E300" s="8">
        <v>45125</v>
      </c>
      <c r="F300" s="7" t="s">
        <v>377</v>
      </c>
    </row>
    <row r="301" spans="1:6" ht="56.25" x14ac:dyDescent="0.3">
      <c r="A301" s="15">
        <v>301</v>
      </c>
      <c r="B301" s="1" t="s">
        <v>293</v>
      </c>
      <c r="C301" s="2" t="s">
        <v>379</v>
      </c>
      <c r="D301" s="19">
        <f>1623984.46</f>
        <v>1623984.46</v>
      </c>
      <c r="E301" s="8">
        <v>45125</v>
      </c>
      <c r="F301" s="7" t="s">
        <v>377</v>
      </c>
    </row>
    <row r="302" spans="1:6" ht="37.5" x14ac:dyDescent="0.3">
      <c r="A302" s="15">
        <v>302</v>
      </c>
      <c r="B302" s="1" t="s">
        <v>294</v>
      </c>
      <c r="C302" s="2" t="s">
        <v>378</v>
      </c>
      <c r="D302" s="19">
        <f>814535.78</f>
        <v>814535.78</v>
      </c>
      <c r="E302" s="8">
        <v>45125</v>
      </c>
      <c r="F302" s="7" t="s">
        <v>377</v>
      </c>
    </row>
    <row r="303" spans="1:6" x14ac:dyDescent="0.3">
      <c r="A303" s="15">
        <v>303</v>
      </c>
      <c r="B303" s="1" t="s">
        <v>295</v>
      </c>
      <c r="C303" s="2" t="s">
        <v>379</v>
      </c>
      <c r="D303" s="19">
        <f>730270.63</f>
        <v>730270.63</v>
      </c>
      <c r="E303" s="8">
        <v>45125</v>
      </c>
      <c r="F303" s="7" t="s">
        <v>377</v>
      </c>
    </row>
    <row r="304" spans="1:6" x14ac:dyDescent="0.3">
      <c r="A304" s="15">
        <v>304</v>
      </c>
      <c r="B304" s="1" t="s">
        <v>296</v>
      </c>
      <c r="C304" s="2" t="s">
        <v>379</v>
      </c>
      <c r="D304" s="19">
        <f>121189.4</f>
        <v>121189.4</v>
      </c>
      <c r="E304" s="8">
        <v>45125</v>
      </c>
      <c r="F304" s="7" t="s">
        <v>377</v>
      </c>
    </row>
    <row r="305" spans="1:6" x14ac:dyDescent="0.3">
      <c r="A305" s="15">
        <v>305</v>
      </c>
      <c r="B305" s="1" t="s">
        <v>297</v>
      </c>
      <c r="C305" s="2" t="s">
        <v>379</v>
      </c>
      <c r="D305" s="19">
        <f>157470.14</f>
        <v>157470.14000000001</v>
      </c>
      <c r="E305" s="8">
        <v>45125</v>
      </c>
      <c r="F305" s="7" t="s">
        <v>377</v>
      </c>
    </row>
    <row r="306" spans="1:6" ht="37.5" x14ac:dyDescent="0.3">
      <c r="A306" s="15">
        <v>306</v>
      </c>
      <c r="B306" s="1" t="s">
        <v>298</v>
      </c>
      <c r="C306" s="2" t="s">
        <v>378</v>
      </c>
      <c r="D306" s="19">
        <f>2522633.5</f>
        <v>2522633.5</v>
      </c>
      <c r="E306" s="8">
        <v>45125</v>
      </c>
      <c r="F306" s="7" t="s">
        <v>377</v>
      </c>
    </row>
    <row r="307" spans="1:6" ht="37.5" x14ac:dyDescent="0.3">
      <c r="A307" s="15">
        <v>307</v>
      </c>
      <c r="B307" s="1" t="s">
        <v>299</v>
      </c>
      <c r="C307" s="2" t="s">
        <v>378</v>
      </c>
      <c r="D307" s="19">
        <f>22378658.54+78369.61</f>
        <v>22457028.149999999</v>
      </c>
      <c r="E307" s="8">
        <v>45125</v>
      </c>
      <c r="F307" s="7" t="s">
        <v>377</v>
      </c>
    </row>
    <row r="308" spans="1:6" ht="37.5" x14ac:dyDescent="0.3">
      <c r="A308" s="15">
        <v>308</v>
      </c>
      <c r="B308" s="1" t="s">
        <v>300</v>
      </c>
      <c r="C308" s="2" t="s">
        <v>378</v>
      </c>
      <c r="D308" s="19">
        <f>2296185.7</f>
        <v>2296185.7000000002</v>
      </c>
      <c r="E308" s="8">
        <v>45125</v>
      </c>
      <c r="F308" s="7" t="s">
        <v>377</v>
      </c>
    </row>
    <row r="309" spans="1:6" x14ac:dyDescent="0.3">
      <c r="A309" s="15">
        <v>309</v>
      </c>
      <c r="B309" s="1" t="s">
        <v>301</v>
      </c>
      <c r="C309" s="2" t="s">
        <v>379</v>
      </c>
      <c r="D309" s="19">
        <f>444486.96</f>
        <v>444486.96</v>
      </c>
      <c r="E309" s="8">
        <v>45125</v>
      </c>
      <c r="F309" s="7" t="s">
        <v>377</v>
      </c>
    </row>
    <row r="310" spans="1:6" x14ac:dyDescent="0.3">
      <c r="A310" s="15">
        <v>310</v>
      </c>
      <c r="B310" s="1" t="s">
        <v>302</v>
      </c>
      <c r="C310" s="2" t="s">
        <v>379</v>
      </c>
      <c r="D310" s="19">
        <f>1329015.3</f>
        <v>1329015.3</v>
      </c>
      <c r="E310" s="8">
        <v>45125</v>
      </c>
      <c r="F310" s="7" t="s">
        <v>377</v>
      </c>
    </row>
    <row r="311" spans="1:6" x14ac:dyDescent="0.3">
      <c r="A311" s="15">
        <v>311</v>
      </c>
      <c r="B311" s="1" t="s">
        <v>303</v>
      </c>
      <c r="C311" s="2" t="s">
        <v>379</v>
      </c>
      <c r="D311" s="19">
        <f>208426.5</f>
        <v>208426.5</v>
      </c>
      <c r="E311" s="8">
        <v>45125</v>
      </c>
      <c r="F311" s="7" t="s">
        <v>377</v>
      </c>
    </row>
    <row r="312" spans="1:6" x14ac:dyDescent="0.3">
      <c r="A312" s="15">
        <v>312</v>
      </c>
      <c r="B312" s="1" t="s">
        <v>304</v>
      </c>
      <c r="C312" s="2" t="s">
        <v>379</v>
      </c>
      <c r="D312" s="19">
        <f>22678.46</f>
        <v>22678.46</v>
      </c>
      <c r="E312" s="8">
        <v>45125</v>
      </c>
      <c r="F312" s="7" t="s">
        <v>377</v>
      </c>
    </row>
    <row r="313" spans="1:6" x14ac:dyDescent="0.3">
      <c r="A313" s="15">
        <v>313</v>
      </c>
      <c r="B313" s="1" t="s">
        <v>305</v>
      </c>
      <c r="C313" s="2" t="s">
        <v>379</v>
      </c>
      <c r="D313" s="19">
        <f>60924.11</f>
        <v>60924.11</v>
      </c>
      <c r="E313" s="8">
        <v>45125</v>
      </c>
      <c r="F313" s="7" t="s">
        <v>377</v>
      </c>
    </row>
    <row r="314" spans="1:6" ht="37.5" x14ac:dyDescent="0.3">
      <c r="A314" s="15">
        <v>314</v>
      </c>
      <c r="B314" s="1" t="s">
        <v>306</v>
      </c>
      <c r="C314" s="2" t="s">
        <v>378</v>
      </c>
      <c r="D314" s="19">
        <f>2625172.24</f>
        <v>2625172.2400000002</v>
      </c>
      <c r="E314" s="8">
        <v>45125</v>
      </c>
      <c r="F314" s="7" t="s">
        <v>377</v>
      </c>
    </row>
    <row r="315" spans="1:6" ht="37.5" x14ac:dyDescent="0.3">
      <c r="A315" s="15">
        <v>315</v>
      </c>
      <c r="B315" s="1" t="s">
        <v>307</v>
      </c>
      <c r="C315" s="2" t="s">
        <v>378</v>
      </c>
      <c r="D315" s="19">
        <f>7734970.01</f>
        <v>7734970.0099999998</v>
      </c>
      <c r="E315" s="8">
        <v>45125</v>
      </c>
      <c r="F315" s="7" t="s">
        <v>377</v>
      </c>
    </row>
    <row r="316" spans="1:6" ht="37.5" x14ac:dyDescent="0.3">
      <c r="A316" s="15">
        <v>316</v>
      </c>
      <c r="B316" s="1" t="s">
        <v>308</v>
      </c>
      <c r="C316" s="2" t="s">
        <v>378</v>
      </c>
      <c r="D316" s="19">
        <f>9525746.61+45121.61</f>
        <v>9570868.2199999988</v>
      </c>
      <c r="E316" s="8">
        <v>45125</v>
      </c>
      <c r="F316" s="7" t="s">
        <v>377</v>
      </c>
    </row>
    <row r="317" spans="1:6" ht="37.5" x14ac:dyDescent="0.3">
      <c r="A317" s="15">
        <v>317</v>
      </c>
      <c r="B317" s="1" t="s">
        <v>309</v>
      </c>
      <c r="C317" s="2" t="s">
        <v>378</v>
      </c>
      <c r="D317" s="19">
        <f>2087186.74</f>
        <v>2087186.74</v>
      </c>
      <c r="E317" s="8">
        <v>45125</v>
      </c>
      <c r="F317" s="7" t="s">
        <v>377</v>
      </c>
    </row>
    <row r="318" spans="1:6" x14ac:dyDescent="0.3">
      <c r="A318" s="15">
        <v>318</v>
      </c>
      <c r="B318" s="1" t="s">
        <v>310</v>
      </c>
      <c r="C318" s="2" t="s">
        <v>379</v>
      </c>
      <c r="D318" s="19">
        <f>4419076.85</f>
        <v>4419076.8499999996</v>
      </c>
      <c r="E318" s="8">
        <v>45125</v>
      </c>
      <c r="F318" s="7" t="s">
        <v>377</v>
      </c>
    </row>
    <row r="319" spans="1:6" x14ac:dyDescent="0.3">
      <c r="A319" s="15">
        <v>319</v>
      </c>
      <c r="B319" s="1" t="s">
        <v>311</v>
      </c>
      <c r="C319" s="2" t="s">
        <v>379</v>
      </c>
      <c r="D319" s="19">
        <f>2928135.14</f>
        <v>2928135.14</v>
      </c>
      <c r="E319" s="8">
        <v>45125</v>
      </c>
      <c r="F319" s="7" t="s">
        <v>377</v>
      </c>
    </row>
    <row r="320" spans="1:6" ht="37.5" x14ac:dyDescent="0.3">
      <c r="A320" s="15">
        <v>320</v>
      </c>
      <c r="B320" s="1" t="s">
        <v>312</v>
      </c>
      <c r="C320" s="2" t="s">
        <v>378</v>
      </c>
      <c r="D320" s="19">
        <f>2021646.16</f>
        <v>2021646.16</v>
      </c>
      <c r="E320" s="8">
        <v>45125</v>
      </c>
      <c r="F320" s="7" t="s">
        <v>377</v>
      </c>
    </row>
    <row r="321" spans="1:6" ht="37.5" x14ac:dyDescent="0.3">
      <c r="A321" s="15">
        <v>321</v>
      </c>
      <c r="B321" s="1" t="s">
        <v>313</v>
      </c>
      <c r="C321" s="2" t="s">
        <v>378</v>
      </c>
      <c r="D321" s="19">
        <f>2172975.5</f>
        <v>2172975.5</v>
      </c>
      <c r="E321" s="8">
        <v>45125</v>
      </c>
      <c r="F321" s="7" t="s">
        <v>377</v>
      </c>
    </row>
    <row r="322" spans="1:6" x14ac:dyDescent="0.3">
      <c r="A322" s="15">
        <v>322</v>
      </c>
      <c r="B322" s="1" t="s">
        <v>314</v>
      </c>
      <c r="C322" s="2" t="s">
        <v>379</v>
      </c>
      <c r="D322" s="19">
        <f>85477.86</f>
        <v>85477.86</v>
      </c>
      <c r="E322" s="8">
        <v>45125</v>
      </c>
      <c r="F322" s="7" t="s">
        <v>377</v>
      </c>
    </row>
    <row r="323" spans="1:6" x14ac:dyDescent="0.3">
      <c r="A323" s="15">
        <v>323</v>
      </c>
      <c r="B323" s="1" t="s">
        <v>315</v>
      </c>
      <c r="C323" s="2" t="s">
        <v>379</v>
      </c>
      <c r="D323" s="19">
        <f>269317.5</f>
        <v>269317.5</v>
      </c>
      <c r="E323" s="8">
        <v>45125</v>
      </c>
      <c r="F323" s="7" t="s">
        <v>377</v>
      </c>
    </row>
    <row r="324" spans="1:6" x14ac:dyDescent="0.3">
      <c r="A324" s="15">
        <v>324</v>
      </c>
      <c r="B324" s="1" t="s">
        <v>316</v>
      </c>
      <c r="C324" s="2" t="s">
        <v>379</v>
      </c>
      <c r="D324" s="19">
        <f>58624.02</f>
        <v>58624.02</v>
      </c>
      <c r="E324" s="8">
        <v>45125</v>
      </c>
      <c r="F324" s="7" t="s">
        <v>377</v>
      </c>
    </row>
    <row r="325" spans="1:6" ht="37.5" x14ac:dyDescent="0.3">
      <c r="A325" s="15">
        <v>325</v>
      </c>
      <c r="B325" s="1" t="s">
        <v>317</v>
      </c>
      <c r="C325" s="2" t="s">
        <v>378</v>
      </c>
      <c r="D325" s="19">
        <f>7200607.22</f>
        <v>7200607.2199999997</v>
      </c>
      <c r="E325" s="8">
        <v>45125</v>
      </c>
      <c r="F325" s="7" t="s">
        <v>377</v>
      </c>
    </row>
    <row r="326" spans="1:6" x14ac:dyDescent="0.3">
      <c r="A326" s="15">
        <v>326</v>
      </c>
      <c r="B326" s="1" t="s">
        <v>318</v>
      </c>
      <c r="C326" s="2" t="s">
        <v>379</v>
      </c>
      <c r="D326" s="19">
        <f>56793.05</f>
        <v>56793.05</v>
      </c>
      <c r="E326" s="8">
        <v>45125</v>
      </c>
      <c r="F326" s="7" t="s">
        <v>377</v>
      </c>
    </row>
    <row r="327" spans="1:6" x14ac:dyDescent="0.3">
      <c r="A327" s="15">
        <v>327</v>
      </c>
      <c r="B327" s="1" t="s">
        <v>319</v>
      </c>
      <c r="C327" s="2" t="s">
        <v>379</v>
      </c>
      <c r="D327" s="19">
        <f>48388.03</f>
        <v>48388.03</v>
      </c>
      <c r="E327" s="8">
        <v>45125</v>
      </c>
      <c r="F327" s="7" t="s">
        <v>377</v>
      </c>
    </row>
    <row r="328" spans="1:6" x14ac:dyDescent="0.3">
      <c r="A328" s="15">
        <v>328</v>
      </c>
      <c r="B328" s="1" t="s">
        <v>320</v>
      </c>
      <c r="C328" s="2" t="s">
        <v>379</v>
      </c>
      <c r="D328" s="19">
        <f>518209.18</f>
        <v>518209.18</v>
      </c>
      <c r="E328" s="8">
        <v>45125</v>
      </c>
      <c r="F328" s="7" t="s">
        <v>377</v>
      </c>
    </row>
    <row r="329" spans="1:6" ht="37.5" x14ac:dyDescent="0.3">
      <c r="A329" s="15">
        <v>329</v>
      </c>
      <c r="B329" s="1" t="s">
        <v>321</v>
      </c>
      <c r="C329" s="2" t="s">
        <v>378</v>
      </c>
      <c r="D329" s="19">
        <f>2928186.06</f>
        <v>2928186.06</v>
      </c>
      <c r="E329" s="8">
        <v>45125</v>
      </c>
      <c r="F329" s="7" t="s">
        <v>377</v>
      </c>
    </row>
    <row r="330" spans="1:6" ht="37.5" x14ac:dyDescent="0.3">
      <c r="A330" s="15">
        <v>330</v>
      </c>
      <c r="B330" s="1" t="s">
        <v>322</v>
      </c>
      <c r="C330" s="2" t="s">
        <v>378</v>
      </c>
      <c r="D330" s="19">
        <f>14449268.06</f>
        <v>14449268.060000001</v>
      </c>
      <c r="E330" s="8">
        <v>45125</v>
      </c>
      <c r="F330" s="7" t="s">
        <v>377</v>
      </c>
    </row>
    <row r="331" spans="1:6" ht="37.5" x14ac:dyDescent="0.3">
      <c r="A331" s="15">
        <v>332</v>
      </c>
      <c r="B331" s="1" t="s">
        <v>345</v>
      </c>
      <c r="C331" s="2" t="s">
        <v>378</v>
      </c>
      <c r="D331" s="19">
        <f>2552195.02+8466.52</f>
        <v>2560661.54</v>
      </c>
      <c r="E331" s="8">
        <v>45125</v>
      </c>
      <c r="F331" s="7" t="s">
        <v>377</v>
      </c>
    </row>
    <row r="332" spans="1:6" x14ac:dyDescent="0.3">
      <c r="A332" s="15">
        <v>333</v>
      </c>
      <c r="B332" s="1" t="s">
        <v>346</v>
      </c>
      <c r="C332" s="2" t="s">
        <v>379</v>
      </c>
      <c r="D332" s="19">
        <f>369669.6</f>
        <v>369669.6</v>
      </c>
      <c r="E332" s="8">
        <v>45125</v>
      </c>
      <c r="F332" s="7" t="s">
        <v>377</v>
      </c>
    </row>
    <row r="333" spans="1:6" ht="37.5" x14ac:dyDescent="0.3">
      <c r="A333" s="15">
        <v>334</v>
      </c>
      <c r="B333" s="1" t="s">
        <v>323</v>
      </c>
      <c r="C333" s="2" t="s">
        <v>378</v>
      </c>
      <c r="D333" s="19">
        <f>2469393.55</f>
        <v>2469393.5499999998</v>
      </c>
      <c r="E333" s="8">
        <v>45209</v>
      </c>
      <c r="F333" s="7" t="s">
        <v>377</v>
      </c>
    </row>
    <row r="334" spans="1:6" x14ac:dyDescent="0.3">
      <c r="A334" s="15">
        <v>335</v>
      </c>
      <c r="B334" s="1" t="s">
        <v>324</v>
      </c>
      <c r="C334" s="2" t="s">
        <v>379</v>
      </c>
      <c r="D334" s="19">
        <f>57954.88</f>
        <v>57954.879999999997</v>
      </c>
      <c r="E334" s="8">
        <v>45209</v>
      </c>
      <c r="F334" s="7" t="s">
        <v>377</v>
      </c>
    </row>
    <row r="335" spans="1:6" x14ac:dyDescent="0.3">
      <c r="A335" s="15">
        <v>336</v>
      </c>
      <c r="B335" s="1" t="s">
        <v>325</v>
      </c>
      <c r="C335" s="2" t="s">
        <v>379</v>
      </c>
      <c r="D335" s="19">
        <f>363552.79</f>
        <v>363552.79</v>
      </c>
      <c r="E335" s="8">
        <v>45209</v>
      </c>
      <c r="F335" s="7" t="s">
        <v>377</v>
      </c>
    </row>
    <row r="336" spans="1:6" x14ac:dyDescent="0.3">
      <c r="A336" s="15">
        <v>337</v>
      </c>
      <c r="B336" s="1" t="s">
        <v>326</v>
      </c>
      <c r="C336" s="2" t="s">
        <v>379</v>
      </c>
      <c r="D336" s="19">
        <f>116665.6</f>
        <v>116665.60000000001</v>
      </c>
      <c r="E336" s="8">
        <v>45209</v>
      </c>
      <c r="F336" s="7" t="s">
        <v>377</v>
      </c>
    </row>
    <row r="337" spans="1:6" x14ac:dyDescent="0.3">
      <c r="A337" s="15">
        <v>338</v>
      </c>
      <c r="B337" s="1" t="s">
        <v>327</v>
      </c>
      <c r="C337" s="2" t="s">
        <v>379</v>
      </c>
      <c r="D337" s="19">
        <f>59743.51</f>
        <v>59743.51</v>
      </c>
      <c r="E337" s="8">
        <v>45209</v>
      </c>
      <c r="F337" s="7" t="s">
        <v>377</v>
      </c>
    </row>
    <row r="338" spans="1:6" x14ac:dyDescent="0.3">
      <c r="A338" s="15">
        <v>339</v>
      </c>
      <c r="B338" s="1" t="s">
        <v>328</v>
      </c>
      <c r="C338" s="2" t="s">
        <v>379</v>
      </c>
      <c r="D338" s="19">
        <f>39552.65</f>
        <v>39552.65</v>
      </c>
      <c r="E338" s="8">
        <v>45209</v>
      </c>
      <c r="F338" s="7" t="s">
        <v>377</v>
      </c>
    </row>
    <row r="339" spans="1:6" x14ac:dyDescent="0.3">
      <c r="A339" s="15">
        <v>340</v>
      </c>
      <c r="B339" s="1" t="s">
        <v>329</v>
      </c>
      <c r="C339" s="2" t="s">
        <v>379</v>
      </c>
      <c r="D339" s="19">
        <f>1151579.64</f>
        <v>1151579.6399999999</v>
      </c>
      <c r="E339" s="8">
        <v>45209</v>
      </c>
      <c r="F339" s="7" t="s">
        <v>377</v>
      </c>
    </row>
    <row r="340" spans="1:6" ht="37.5" x14ac:dyDescent="0.3">
      <c r="A340" s="15">
        <v>341</v>
      </c>
      <c r="B340" s="1" t="s">
        <v>330</v>
      </c>
      <c r="C340" s="2" t="s">
        <v>378</v>
      </c>
      <c r="D340" s="19">
        <f>3104581.99</f>
        <v>3104581.99</v>
      </c>
      <c r="E340" s="8">
        <v>45209</v>
      </c>
      <c r="F340" s="7" t="s">
        <v>377</v>
      </c>
    </row>
    <row r="341" spans="1:6" ht="56.25" x14ac:dyDescent="0.3">
      <c r="A341" s="15">
        <v>342</v>
      </c>
      <c r="B341" s="1" t="s">
        <v>331</v>
      </c>
      <c r="C341" s="2" t="s">
        <v>378</v>
      </c>
      <c r="D341" s="19">
        <f>2150606.72</f>
        <v>2150606.7200000002</v>
      </c>
      <c r="E341" s="8">
        <v>45209</v>
      </c>
      <c r="F341" s="7" t="s">
        <v>377</v>
      </c>
    </row>
    <row r="342" spans="1:6" x14ac:dyDescent="0.3">
      <c r="A342" s="15">
        <v>343</v>
      </c>
      <c r="B342" s="1" t="s">
        <v>332</v>
      </c>
      <c r="C342" s="2" t="s">
        <v>379</v>
      </c>
      <c r="D342" s="19">
        <f>128576.02</f>
        <v>128576.02</v>
      </c>
      <c r="E342" s="8">
        <v>45209</v>
      </c>
      <c r="F342" s="7" t="s">
        <v>377</v>
      </c>
    </row>
    <row r="343" spans="1:6" ht="37.5" x14ac:dyDescent="0.3">
      <c r="A343" s="15">
        <v>344</v>
      </c>
      <c r="B343" s="1" t="s">
        <v>333</v>
      </c>
      <c r="C343" s="2" t="s">
        <v>379</v>
      </c>
      <c r="D343" s="19">
        <f>80950.04</f>
        <v>80950.039999999994</v>
      </c>
      <c r="E343" s="8">
        <v>45209</v>
      </c>
      <c r="F343" s="7" t="s">
        <v>377</v>
      </c>
    </row>
    <row r="344" spans="1:6" x14ac:dyDescent="0.3">
      <c r="A344" s="15">
        <v>345</v>
      </c>
      <c r="B344" s="1" t="s">
        <v>334</v>
      </c>
      <c r="C344" s="2" t="s">
        <v>379</v>
      </c>
      <c r="D344" s="19">
        <f>433900.9</f>
        <v>433900.9</v>
      </c>
      <c r="E344" s="8">
        <v>45209</v>
      </c>
      <c r="F344" s="7" t="s">
        <v>377</v>
      </c>
    </row>
    <row r="345" spans="1:6" ht="37.5" x14ac:dyDescent="0.3">
      <c r="A345" s="15">
        <v>346</v>
      </c>
      <c r="B345" s="1" t="s">
        <v>335</v>
      </c>
      <c r="C345" s="2" t="s">
        <v>378</v>
      </c>
      <c r="D345" s="19">
        <f>750007.1</f>
        <v>750007.1</v>
      </c>
      <c r="E345" s="8">
        <v>45209</v>
      </c>
      <c r="F345" s="7" t="s">
        <v>377</v>
      </c>
    </row>
    <row r="346" spans="1:6" x14ac:dyDescent="0.3">
      <c r="A346" s="15">
        <v>347</v>
      </c>
      <c r="B346" s="1" t="s">
        <v>336</v>
      </c>
      <c r="C346" s="2" t="s">
        <v>379</v>
      </c>
      <c r="D346" s="19">
        <f>2473957.02</f>
        <v>2473957.02</v>
      </c>
      <c r="E346" s="8">
        <v>45209</v>
      </c>
      <c r="F346" s="7" t="s">
        <v>377</v>
      </c>
    </row>
    <row r="347" spans="1:6" ht="37.5" x14ac:dyDescent="0.3">
      <c r="A347" s="15">
        <v>348</v>
      </c>
      <c r="B347" s="1" t="s">
        <v>337</v>
      </c>
      <c r="C347" s="2" t="s">
        <v>378</v>
      </c>
      <c r="D347" s="19">
        <f>1815592.9</f>
        <v>1815592.9</v>
      </c>
      <c r="E347" s="8">
        <v>45209</v>
      </c>
      <c r="F347" s="7" t="s">
        <v>377</v>
      </c>
    </row>
    <row r="348" spans="1:6" x14ac:dyDescent="0.3">
      <c r="A348" s="15">
        <v>349</v>
      </c>
      <c r="B348" s="1" t="s">
        <v>338</v>
      </c>
      <c r="C348" s="2" t="s">
        <v>379</v>
      </c>
      <c r="D348" s="19">
        <f>2376275.3</f>
        <v>2376275.2999999998</v>
      </c>
      <c r="E348" s="8">
        <v>45209</v>
      </c>
      <c r="F348" s="7" t="s">
        <v>377</v>
      </c>
    </row>
    <row r="349" spans="1:6" ht="37.5" x14ac:dyDescent="0.3">
      <c r="A349" s="15">
        <v>350</v>
      </c>
      <c r="B349" s="1" t="s">
        <v>367</v>
      </c>
      <c r="C349" s="2" t="s">
        <v>379</v>
      </c>
      <c r="D349" s="19">
        <f>250459.84</f>
        <v>250459.84</v>
      </c>
      <c r="E349" s="8">
        <v>45209</v>
      </c>
      <c r="F349" s="7" t="s">
        <v>377</v>
      </c>
    </row>
    <row r="350" spans="1:6" x14ac:dyDescent="0.3">
      <c r="A350" s="15">
        <v>351</v>
      </c>
      <c r="B350" s="1" t="s">
        <v>339</v>
      </c>
      <c r="C350" s="2" t="s">
        <v>379</v>
      </c>
      <c r="D350" s="19">
        <f>443929.5</f>
        <v>443929.5</v>
      </c>
      <c r="E350" s="8">
        <v>45209</v>
      </c>
      <c r="F350" s="7" t="s">
        <v>377</v>
      </c>
    </row>
    <row r="351" spans="1:6" x14ac:dyDescent="0.3">
      <c r="A351" s="15">
        <v>352</v>
      </c>
      <c r="B351" s="1" t="s">
        <v>340</v>
      </c>
      <c r="C351" s="2" t="s">
        <v>379</v>
      </c>
      <c r="D351" s="19">
        <f>308353.34</f>
        <v>308353.34000000003</v>
      </c>
      <c r="E351" s="8">
        <v>45209</v>
      </c>
      <c r="F351" s="7" t="s">
        <v>377</v>
      </c>
    </row>
    <row r="352" spans="1:6" ht="37.5" x14ac:dyDescent="0.3">
      <c r="A352" s="15">
        <v>353</v>
      </c>
      <c r="B352" s="1" t="s">
        <v>341</v>
      </c>
      <c r="C352" s="2" t="s">
        <v>378</v>
      </c>
      <c r="D352" s="19">
        <f>3741225.56</f>
        <v>3741225.56</v>
      </c>
      <c r="E352" s="8">
        <v>45209</v>
      </c>
      <c r="F352" s="7" t="s">
        <v>377</v>
      </c>
    </row>
    <row r="353" spans="1:6" ht="37.5" x14ac:dyDescent="0.3">
      <c r="A353" s="15">
        <v>354</v>
      </c>
      <c r="B353" s="1" t="s">
        <v>342</v>
      </c>
      <c r="C353" s="2" t="s">
        <v>378</v>
      </c>
      <c r="D353" s="19">
        <f>5662098.48</f>
        <v>5662098.4800000004</v>
      </c>
      <c r="E353" s="8">
        <v>45209</v>
      </c>
      <c r="F353" s="7" t="s">
        <v>377</v>
      </c>
    </row>
    <row r="354" spans="1:6" ht="37.5" x14ac:dyDescent="0.3">
      <c r="A354" s="15">
        <v>355</v>
      </c>
      <c r="B354" s="1" t="s">
        <v>343</v>
      </c>
      <c r="C354" s="2" t="s">
        <v>378</v>
      </c>
      <c r="D354" s="19">
        <f>25181121.75</f>
        <v>25181121.75</v>
      </c>
      <c r="E354" s="8">
        <v>45209</v>
      </c>
      <c r="F354" s="7" t="s">
        <v>377</v>
      </c>
    </row>
    <row r="355" spans="1:6" x14ac:dyDescent="0.3">
      <c r="A355" s="15">
        <v>356</v>
      </c>
      <c r="B355" s="1" t="s">
        <v>347</v>
      </c>
      <c r="C355" s="2" t="s">
        <v>379</v>
      </c>
      <c r="D355" s="19">
        <f>67176.22</f>
        <v>67176.22</v>
      </c>
      <c r="E355" s="8">
        <v>45209</v>
      </c>
      <c r="F355" s="7" t="s">
        <v>377</v>
      </c>
    </row>
    <row r="356" spans="1:6" ht="37.5" x14ac:dyDescent="0.3">
      <c r="A356" s="15">
        <v>357</v>
      </c>
      <c r="B356" s="1" t="s">
        <v>368</v>
      </c>
      <c r="C356" s="2" t="s">
        <v>378</v>
      </c>
      <c r="D356" s="19">
        <f>3240929.18</f>
        <v>3240929.18</v>
      </c>
      <c r="E356" s="8">
        <v>45209</v>
      </c>
      <c r="F356" s="7" t="s">
        <v>377</v>
      </c>
    </row>
    <row r="357" spans="1:6" ht="37.5" x14ac:dyDescent="0.3">
      <c r="A357" s="15">
        <v>358</v>
      </c>
      <c r="B357" s="1" t="s">
        <v>369</v>
      </c>
      <c r="C357" s="2" t="s">
        <v>378</v>
      </c>
      <c r="D357" s="19">
        <f>1360641.14</f>
        <v>1360641.14</v>
      </c>
      <c r="E357" s="8">
        <v>45209</v>
      </c>
      <c r="F357" s="7" t="s">
        <v>377</v>
      </c>
    </row>
    <row r="358" spans="1:6" ht="37.5" x14ac:dyDescent="0.3">
      <c r="A358" s="15">
        <v>359</v>
      </c>
      <c r="B358" s="1" t="s">
        <v>370</v>
      </c>
      <c r="C358" s="2" t="s">
        <v>378</v>
      </c>
      <c r="D358" s="19">
        <f>2743814.36</f>
        <v>2743814.36</v>
      </c>
      <c r="E358" s="8">
        <v>45209</v>
      </c>
      <c r="F358" s="7" t="s">
        <v>377</v>
      </c>
    </row>
    <row r="359" spans="1:6" x14ac:dyDescent="0.3">
      <c r="A359" s="15">
        <v>360</v>
      </c>
      <c r="B359" s="1" t="s">
        <v>371</v>
      </c>
      <c r="C359" s="2" t="s">
        <v>379</v>
      </c>
      <c r="D359" s="19">
        <f>9827240.21</f>
        <v>9827240.2100000009</v>
      </c>
      <c r="E359" s="8">
        <v>45209</v>
      </c>
      <c r="F359" s="7" t="s">
        <v>377</v>
      </c>
    </row>
    <row r="360" spans="1:6" x14ac:dyDescent="0.3">
      <c r="A360" s="15">
        <v>361</v>
      </c>
      <c r="B360" s="1" t="s">
        <v>372</v>
      </c>
      <c r="C360" s="2" t="s">
        <v>379</v>
      </c>
      <c r="D360" s="19">
        <f>95792.98</f>
        <v>95792.98</v>
      </c>
      <c r="E360" s="8">
        <v>45209</v>
      </c>
      <c r="F360" s="7" t="s">
        <v>377</v>
      </c>
    </row>
    <row r="361" spans="1:6" ht="37.5" x14ac:dyDescent="0.3">
      <c r="A361" s="15">
        <v>362</v>
      </c>
      <c r="B361" s="1" t="s">
        <v>373</v>
      </c>
      <c r="C361" s="2" t="s">
        <v>378</v>
      </c>
      <c r="D361" s="19">
        <f>4409792.6</f>
        <v>4409792.5999999996</v>
      </c>
      <c r="E361" s="8">
        <v>45209</v>
      </c>
      <c r="F361" s="7" t="s">
        <v>377</v>
      </c>
    </row>
    <row r="362" spans="1:6" ht="37.5" x14ac:dyDescent="0.3">
      <c r="A362" s="15">
        <v>363</v>
      </c>
      <c r="B362" s="3" t="s">
        <v>348</v>
      </c>
      <c r="C362" s="2" t="s">
        <v>378</v>
      </c>
      <c r="D362" s="19">
        <f>2526631.72</f>
        <v>2526631.7200000002</v>
      </c>
      <c r="E362" s="8">
        <v>45209</v>
      </c>
      <c r="F362" s="7" t="s">
        <v>377</v>
      </c>
    </row>
    <row r="363" spans="1:6" ht="37.5" x14ac:dyDescent="0.3">
      <c r="A363" s="15">
        <v>364</v>
      </c>
      <c r="B363" s="3" t="s">
        <v>349</v>
      </c>
      <c r="C363" s="2" t="s">
        <v>378</v>
      </c>
      <c r="D363" s="19">
        <f>637453.62</f>
        <v>637453.62</v>
      </c>
      <c r="E363" s="8">
        <v>45209</v>
      </c>
      <c r="F363" s="7" t="s">
        <v>377</v>
      </c>
    </row>
    <row r="364" spans="1:6" ht="37.5" x14ac:dyDescent="0.3">
      <c r="A364" s="15">
        <v>365</v>
      </c>
      <c r="B364" s="3" t="s">
        <v>350</v>
      </c>
      <c r="C364" s="2" t="s">
        <v>378</v>
      </c>
      <c r="D364" s="19">
        <f>971295.78</f>
        <v>971295.78</v>
      </c>
      <c r="E364" s="8">
        <v>45209</v>
      </c>
      <c r="F364" s="7" t="s">
        <v>377</v>
      </c>
    </row>
    <row r="365" spans="1:6" x14ac:dyDescent="0.3">
      <c r="A365" s="15">
        <v>366</v>
      </c>
      <c r="B365" s="3" t="s">
        <v>351</v>
      </c>
      <c r="C365" s="2" t="s">
        <v>379</v>
      </c>
      <c r="D365" s="19">
        <f>2392717.55</f>
        <v>2392717.5499999998</v>
      </c>
      <c r="E365" s="8">
        <v>45209</v>
      </c>
      <c r="F365" s="7" t="s">
        <v>377</v>
      </c>
    </row>
    <row r="366" spans="1:6" ht="37.5" x14ac:dyDescent="0.3">
      <c r="A366" s="15">
        <v>367</v>
      </c>
      <c r="B366" s="3" t="s">
        <v>352</v>
      </c>
      <c r="C366" s="2" t="s">
        <v>378</v>
      </c>
      <c r="D366" s="19">
        <f>1591045.12</f>
        <v>1591045.1200000001</v>
      </c>
      <c r="E366" s="8">
        <v>45209</v>
      </c>
      <c r="F366" s="7" t="s">
        <v>377</v>
      </c>
    </row>
    <row r="367" spans="1:6" ht="37.5" x14ac:dyDescent="0.3">
      <c r="A367" s="15">
        <v>368</v>
      </c>
      <c r="B367" s="5" t="s">
        <v>353</v>
      </c>
      <c r="C367" s="2" t="s">
        <v>378</v>
      </c>
      <c r="D367" s="19">
        <v>1507443.84</v>
      </c>
      <c r="E367" s="8">
        <v>45209</v>
      </c>
      <c r="F367" s="7" t="s">
        <v>377</v>
      </c>
    </row>
    <row r="368" spans="1:6" ht="37.5" x14ac:dyDescent="0.3">
      <c r="A368" s="15">
        <v>369</v>
      </c>
      <c r="B368" s="5" t="s">
        <v>354</v>
      </c>
      <c r="C368" s="2" t="s">
        <v>378</v>
      </c>
      <c r="D368" s="19">
        <v>3549854.12</v>
      </c>
      <c r="E368" s="8">
        <v>45209</v>
      </c>
      <c r="F368" s="7" t="s">
        <v>377</v>
      </c>
    </row>
    <row r="369" spans="1:6" ht="37.5" x14ac:dyDescent="0.3">
      <c r="A369" s="15">
        <v>370</v>
      </c>
      <c r="B369" s="3" t="s">
        <v>355</v>
      </c>
      <c r="C369" s="2" t="s">
        <v>378</v>
      </c>
      <c r="D369" s="19">
        <v>1044647.67</v>
      </c>
      <c r="E369" s="8">
        <v>45209</v>
      </c>
      <c r="F369" s="7" t="s">
        <v>377</v>
      </c>
    </row>
    <row r="370" spans="1:6" ht="37.5" x14ac:dyDescent="0.3">
      <c r="A370" s="15">
        <v>371</v>
      </c>
      <c r="B370" s="3" t="s">
        <v>356</v>
      </c>
      <c r="C370" s="2" t="s">
        <v>378</v>
      </c>
      <c r="D370" s="19">
        <f>453741.08</f>
        <v>453741.08</v>
      </c>
      <c r="E370" s="8">
        <v>45209</v>
      </c>
      <c r="F370" s="7" t="s">
        <v>377</v>
      </c>
    </row>
    <row r="371" spans="1:6" ht="37.5" x14ac:dyDescent="0.3">
      <c r="A371" s="15">
        <v>372</v>
      </c>
      <c r="B371" s="3" t="s">
        <v>357</v>
      </c>
      <c r="C371" s="2" t="s">
        <v>378</v>
      </c>
      <c r="D371" s="19">
        <f>1174115.87</f>
        <v>1174115.8700000001</v>
      </c>
      <c r="E371" s="8">
        <v>45209</v>
      </c>
      <c r="F371" s="7" t="s">
        <v>377</v>
      </c>
    </row>
    <row r="372" spans="1:6" x14ac:dyDescent="0.3">
      <c r="A372" s="15">
        <v>373</v>
      </c>
      <c r="B372" s="3" t="s">
        <v>358</v>
      </c>
      <c r="C372" s="2" t="s">
        <v>379</v>
      </c>
      <c r="D372" s="19">
        <f>32855.96</f>
        <v>32855.96</v>
      </c>
      <c r="E372" s="8">
        <v>45209</v>
      </c>
      <c r="F372" s="7" t="s">
        <v>377</v>
      </c>
    </row>
    <row r="373" spans="1:6" ht="56.25" x14ac:dyDescent="0.3">
      <c r="A373" s="15">
        <v>374</v>
      </c>
      <c r="B373" s="6" t="s">
        <v>359</v>
      </c>
      <c r="C373" s="2" t="s">
        <v>379</v>
      </c>
      <c r="D373" s="19">
        <f>424449.28</f>
        <v>424449.28000000003</v>
      </c>
      <c r="E373" s="8">
        <v>45209</v>
      </c>
      <c r="F373" s="7" t="s">
        <v>377</v>
      </c>
    </row>
    <row r="375" spans="1:6" x14ac:dyDescent="0.3">
      <c r="D375" s="9">
        <f>SUM(D2:D373)</f>
        <v>1035086565.7699996</v>
      </c>
    </row>
    <row r="377" spans="1:6" x14ac:dyDescent="0.3">
      <c r="D377" s="16">
        <f>67819796.66+180635543.38+276509.09+317287668.19+343936918.12+125130130.33</f>
        <v>1035086565.77</v>
      </c>
    </row>
    <row r="379" spans="1:6" x14ac:dyDescent="0.3">
      <c r="D379" s="9">
        <f>D377-D375</f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2024-12-12T08:18:55Z</dcterms:modified>
</cp:coreProperties>
</file>