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4295" yWindow="-15" windowWidth="14520" windowHeight="11715" tabRatio="467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Лист8" sheetId="27" state="hidden" r:id="rId5"/>
    <sheet name="IV. Кап. інвестиції" sheetId="3" r:id="rId6"/>
    <sheet name=" V. Коефіцієнти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_xlnm._FilterDatabase" localSheetId="1" hidden="1">'I. Фін результат'!$A$3:$H$170</definedName>
    <definedName name="_xlnm._FilterDatabase" localSheetId="3" hidden="1">'ІІІ. Рух грош. коштів'!$A$51:$H$51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пок.'!$28:$28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Коефіцієнти'!$A$1:$F$28</definedName>
    <definedName name="_xlnm.Print_Area" localSheetId="1">'I. Фін результат'!$A$1:$H$175</definedName>
    <definedName name="_xlnm.Print_Area" localSheetId="5">'IV. Кап. інвестиції'!$A$1:$G$19</definedName>
    <definedName name="_xlnm.Print_Area" localSheetId="2">'ІІ. Розр. з бюджетом'!$A$1:$G$53</definedName>
    <definedName name="_xlnm.Print_Area" localSheetId="3">'ІІІ. Рух грош. коштів'!$A$1:$G$150</definedName>
    <definedName name="_xlnm.Print_Area" localSheetId="0">'Осн. фін. пок.'!$A$1:$G$80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E103" i="2" l="1"/>
  <c r="E89" i="2" l="1"/>
  <c r="E71" i="2"/>
  <c r="C69" i="14" l="1"/>
  <c r="C71" i="14" s="1"/>
  <c r="C72" i="14" s="1"/>
  <c r="C68" i="14"/>
  <c r="C6" i="3"/>
  <c r="C108" i="18"/>
  <c r="C107" i="18"/>
  <c r="C104" i="18"/>
  <c r="C101" i="18"/>
  <c r="C96" i="18"/>
  <c r="C94" i="18"/>
  <c r="C92" i="18"/>
  <c r="C91" i="18"/>
  <c r="C89" i="18"/>
  <c r="C82" i="18"/>
  <c r="C80" i="18"/>
  <c r="C79" i="18"/>
  <c r="C44" i="18"/>
  <c r="C42" i="18" s="1"/>
  <c r="C128" i="2"/>
  <c r="C127" i="2"/>
  <c r="C125" i="2"/>
  <c r="C124" i="2"/>
  <c r="C122" i="2"/>
  <c r="C121" i="2"/>
  <c r="C120" i="2"/>
  <c r="C116" i="2"/>
  <c r="C109" i="2"/>
  <c r="C108" i="2"/>
  <c r="C104" i="2"/>
  <c r="C89" i="2"/>
  <c r="C77" i="2"/>
  <c r="C75" i="2"/>
  <c r="C71" i="2"/>
  <c r="C70" i="2" s="1"/>
  <c r="C68" i="2"/>
  <c r="C60" i="2"/>
  <c r="C59" i="2"/>
  <c r="C58" i="2"/>
  <c r="C57" i="2"/>
  <c r="C56" i="2"/>
  <c r="C55" i="2"/>
  <c r="C51" i="2"/>
  <c r="C45" i="2" s="1"/>
  <c r="C24" i="2"/>
  <c r="C20" i="2"/>
  <c r="C78" i="18" l="1"/>
  <c r="C88" i="18"/>
  <c r="C102" i="2"/>
  <c r="D163" i="2" l="1"/>
  <c r="D77" i="2"/>
  <c r="D70" i="2"/>
  <c r="D45" i="2"/>
  <c r="D30" i="2"/>
  <c r="E19" i="18"/>
  <c r="E17" i="18"/>
  <c r="D170" i="2" l="1"/>
  <c r="E96" i="18" l="1"/>
  <c r="E19" i="11"/>
  <c r="E49" i="18" l="1"/>
  <c r="E72" i="18"/>
  <c r="E92" i="18"/>
  <c r="E90" i="18"/>
  <c r="E80" i="18"/>
  <c r="E79" i="18"/>
  <c r="E29" i="18"/>
  <c r="E27" i="18"/>
  <c r="E25" i="18"/>
  <c r="E23" i="18"/>
  <c r="E22" i="18"/>
  <c r="E16" i="18"/>
  <c r="E122" i="2" l="1"/>
  <c r="E126" i="2"/>
  <c r="E108" i="2"/>
  <c r="E109" i="2"/>
  <c r="E110" i="2"/>
  <c r="E120" i="2"/>
  <c r="E128" i="2"/>
  <c r="E127" i="2"/>
  <c r="E125" i="2"/>
  <c r="E124" i="2"/>
  <c r="E123" i="2"/>
  <c r="E121" i="2"/>
  <c r="E104" i="2"/>
  <c r="E75" i="2" l="1"/>
  <c r="E65" i="2"/>
  <c r="E78" i="2"/>
  <c r="E66" i="2"/>
  <c r="E60" i="2"/>
  <c r="E59" i="2"/>
  <c r="E58" i="2"/>
  <c r="E56" i="2"/>
  <c r="E51" i="2"/>
  <c r="E50" i="2"/>
  <c r="E49" i="2"/>
  <c r="E48" i="2"/>
  <c r="E46" i="2"/>
  <c r="E47" i="2"/>
  <c r="E23" i="2"/>
  <c r="E20" i="2" l="1"/>
  <c r="E10" i="2"/>
  <c r="E15" i="2" l="1"/>
  <c r="E164" i="2" s="1"/>
  <c r="F18" i="19" l="1"/>
  <c r="G18" i="19"/>
  <c r="E165" i="2"/>
  <c r="E166" i="2"/>
  <c r="E24" i="2" l="1"/>
  <c r="D71" i="14" l="1"/>
  <c r="D72" i="14" s="1"/>
  <c r="D69" i="14"/>
  <c r="C18" i="2" l="1"/>
  <c r="C16" i="19"/>
  <c r="E11" i="3" l="1"/>
  <c r="G48" i="18"/>
  <c r="F48" i="18"/>
  <c r="F17" i="2" l="1"/>
  <c r="G17" i="2"/>
  <c r="F34" i="2" l="1"/>
  <c r="G34" i="2"/>
  <c r="F35" i="2"/>
  <c r="G35" i="2"/>
  <c r="F36" i="2"/>
  <c r="G36" i="2"/>
  <c r="F42" i="2"/>
  <c r="G42" i="2"/>
  <c r="G41" i="2"/>
  <c r="D18" i="2"/>
  <c r="F41" i="2" l="1"/>
  <c r="G19" i="19" l="1"/>
  <c r="F19" i="19"/>
  <c r="C30" i="2" l="1"/>
  <c r="C22" i="2" s="1"/>
  <c r="G10" i="3" l="1"/>
  <c r="D7" i="2" l="1"/>
  <c r="C34" i="14"/>
  <c r="C39" i="14"/>
  <c r="C42" i="14"/>
  <c r="C46" i="14"/>
  <c r="C47" i="14"/>
  <c r="C48" i="14"/>
  <c r="C50" i="14"/>
  <c r="C53" i="14"/>
  <c r="C57" i="14"/>
  <c r="D102" i="2" l="1"/>
  <c r="D44" i="2"/>
  <c r="D24" i="2"/>
  <c r="D22" i="2" s="1"/>
  <c r="D6" i="3"/>
  <c r="E6" i="3"/>
  <c r="E139" i="18"/>
  <c r="E140" i="18" s="1"/>
  <c r="E100" i="18"/>
  <c r="E97" i="18" s="1"/>
  <c r="E88" i="18"/>
  <c r="E78" i="18"/>
  <c r="E51" i="18"/>
  <c r="E44" i="18"/>
  <c r="E42" i="18" s="1"/>
  <c r="E26" i="18"/>
  <c r="E21" i="18"/>
  <c r="E86" i="18" l="1"/>
  <c r="E110" i="18"/>
  <c r="E40" i="19" l="1"/>
  <c r="D9" i="2" l="1"/>
  <c r="D21" i="2" s="1"/>
  <c r="E167" i="2" l="1"/>
  <c r="E168" i="2"/>
  <c r="F46" i="2"/>
  <c r="G46" i="2"/>
  <c r="E30" i="2" l="1"/>
  <c r="E22" i="2" s="1"/>
  <c r="F7" i="3" l="1"/>
  <c r="G7" i="3"/>
  <c r="F8" i="3"/>
  <c r="G8" i="3"/>
  <c r="F9" i="3"/>
  <c r="G9" i="3"/>
  <c r="F10" i="3"/>
  <c r="F11" i="3"/>
  <c r="G11" i="3"/>
  <c r="G143" i="18"/>
  <c r="F143" i="18"/>
  <c r="G142" i="18"/>
  <c r="F142" i="18"/>
  <c r="G141" i="18"/>
  <c r="F141" i="18"/>
  <c r="G139" i="18"/>
  <c r="F139" i="18"/>
  <c r="G138" i="18"/>
  <c r="F138" i="18"/>
  <c r="G137" i="18"/>
  <c r="F137" i="18"/>
  <c r="G136" i="18"/>
  <c r="F136" i="18"/>
  <c r="G135" i="18"/>
  <c r="F135" i="18"/>
  <c r="G134" i="18"/>
  <c r="F134" i="18"/>
  <c r="G133" i="18"/>
  <c r="F133" i="18"/>
  <c r="G132" i="18"/>
  <c r="F132" i="18"/>
  <c r="G131" i="18"/>
  <c r="F131" i="18"/>
  <c r="G130" i="18"/>
  <c r="F130" i="18"/>
  <c r="G129" i="18"/>
  <c r="F129" i="18"/>
  <c r="G128" i="18"/>
  <c r="F128" i="18"/>
  <c r="G127" i="18"/>
  <c r="F127" i="18"/>
  <c r="G126" i="18"/>
  <c r="F126" i="18"/>
  <c r="G125" i="18"/>
  <c r="F125" i="18"/>
  <c r="G124" i="18"/>
  <c r="F124" i="18"/>
  <c r="G123" i="18"/>
  <c r="F123" i="18"/>
  <c r="G121" i="18"/>
  <c r="F121" i="18"/>
  <c r="G120" i="18"/>
  <c r="F120" i="18"/>
  <c r="G119" i="18"/>
  <c r="F119" i="18"/>
  <c r="G118" i="18"/>
  <c r="F118" i="18"/>
  <c r="G117" i="18"/>
  <c r="F117" i="18"/>
  <c r="G116" i="18"/>
  <c r="F116" i="18"/>
  <c r="G115" i="18"/>
  <c r="F115" i="18"/>
  <c r="G114" i="18"/>
  <c r="F114" i="18"/>
  <c r="G113" i="18"/>
  <c r="F113" i="18"/>
  <c r="G112" i="18"/>
  <c r="F112" i="18"/>
  <c r="G109" i="18"/>
  <c r="F109" i="18"/>
  <c r="G102" i="18"/>
  <c r="F102" i="18"/>
  <c r="G99" i="18"/>
  <c r="F99" i="18"/>
  <c r="G98" i="18"/>
  <c r="F98" i="18"/>
  <c r="G95" i="18"/>
  <c r="F95" i="18"/>
  <c r="G93" i="18"/>
  <c r="F93" i="18"/>
  <c r="G90" i="18"/>
  <c r="F90" i="18"/>
  <c r="G87" i="18"/>
  <c r="F87" i="18"/>
  <c r="G85" i="18"/>
  <c r="F85" i="18"/>
  <c r="G84" i="18"/>
  <c r="F84" i="18"/>
  <c r="G83" i="18"/>
  <c r="F83" i="18"/>
  <c r="G82" i="18"/>
  <c r="F82" i="18"/>
  <c r="G81" i="18"/>
  <c r="F81" i="18"/>
  <c r="G80" i="18"/>
  <c r="F80" i="18"/>
  <c r="G77" i="18"/>
  <c r="F77" i="18"/>
  <c r="G76" i="18"/>
  <c r="F76" i="18"/>
  <c r="G75" i="18"/>
  <c r="F75" i="18"/>
  <c r="G74" i="18"/>
  <c r="F74" i="18"/>
  <c r="G73" i="18"/>
  <c r="F73" i="18"/>
  <c r="G72" i="18"/>
  <c r="F72" i="18"/>
  <c r="G71" i="18"/>
  <c r="F71" i="18"/>
  <c r="G70" i="18"/>
  <c r="F70" i="18"/>
  <c r="G69" i="18"/>
  <c r="F69" i="18"/>
  <c r="G68" i="18"/>
  <c r="F68" i="18"/>
  <c r="G67" i="18"/>
  <c r="F67" i="18"/>
  <c r="G66" i="18"/>
  <c r="F66" i="18"/>
  <c r="G65" i="18"/>
  <c r="F65" i="18"/>
  <c r="G64" i="18"/>
  <c r="F64" i="18"/>
  <c r="G63" i="18"/>
  <c r="F63" i="18"/>
  <c r="G62" i="18"/>
  <c r="F62" i="18"/>
  <c r="G61" i="18"/>
  <c r="F61" i="18"/>
  <c r="G60" i="18"/>
  <c r="F60" i="18"/>
  <c r="G59" i="18"/>
  <c r="F59" i="18"/>
  <c r="G58" i="18"/>
  <c r="F58" i="18"/>
  <c r="G57" i="18"/>
  <c r="F57" i="18"/>
  <c r="G56" i="18"/>
  <c r="F56" i="18"/>
  <c r="G55" i="18"/>
  <c r="F55" i="18"/>
  <c r="G54" i="18"/>
  <c r="F54" i="18"/>
  <c r="G53" i="18"/>
  <c r="F53" i="18"/>
  <c r="G52" i="18"/>
  <c r="F52" i="18"/>
  <c r="G50" i="18"/>
  <c r="F50" i="18"/>
  <c r="G43" i="18"/>
  <c r="F43" i="18"/>
  <c r="G41" i="18"/>
  <c r="F41" i="18"/>
  <c r="G40" i="18"/>
  <c r="F40" i="18"/>
  <c r="G39" i="18"/>
  <c r="F39" i="18"/>
  <c r="G38" i="18"/>
  <c r="F38" i="18"/>
  <c r="G37" i="18"/>
  <c r="F37" i="18"/>
  <c r="G36" i="18"/>
  <c r="F36" i="18"/>
  <c r="G35" i="18"/>
  <c r="F35" i="18"/>
  <c r="G34" i="18"/>
  <c r="F34" i="18"/>
  <c r="F8" i="18"/>
  <c r="G8" i="18"/>
  <c r="F9" i="18"/>
  <c r="G9" i="18"/>
  <c r="F10" i="18"/>
  <c r="G10" i="18"/>
  <c r="F11" i="18"/>
  <c r="G11" i="18"/>
  <c r="F13" i="18"/>
  <c r="G13" i="18"/>
  <c r="F14" i="18"/>
  <c r="G14" i="18"/>
  <c r="F15" i="18"/>
  <c r="G15" i="18"/>
  <c r="F18" i="18"/>
  <c r="G18" i="18"/>
  <c r="F24" i="18"/>
  <c r="G24" i="18"/>
  <c r="F28" i="18"/>
  <c r="G28" i="18"/>
  <c r="F31" i="18"/>
  <c r="G31" i="18"/>
  <c r="G7" i="18"/>
  <c r="F7" i="18"/>
  <c r="G43" i="19"/>
  <c r="F43" i="19"/>
  <c r="G42" i="19"/>
  <c r="F42" i="19"/>
  <c r="G41" i="19"/>
  <c r="F41" i="19"/>
  <c r="G39" i="19"/>
  <c r="F39" i="19"/>
  <c r="G38" i="19"/>
  <c r="F38" i="19"/>
  <c r="G36" i="19"/>
  <c r="F36" i="19"/>
  <c r="G35" i="19"/>
  <c r="F35" i="19"/>
  <c r="G34" i="19"/>
  <c r="F34" i="19"/>
  <c r="G32" i="19"/>
  <c r="F32" i="19"/>
  <c r="G31" i="19"/>
  <c r="F31" i="19"/>
  <c r="G30" i="19"/>
  <c r="F30" i="19"/>
  <c r="G28" i="19"/>
  <c r="F28" i="19"/>
  <c r="G27" i="19"/>
  <c r="F27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7" i="19"/>
  <c r="G17" i="19"/>
  <c r="F20" i="19"/>
  <c r="G20" i="19"/>
  <c r="G7" i="19"/>
  <c r="F7" i="19"/>
  <c r="G149" i="2"/>
  <c r="G148" i="2"/>
  <c r="G144" i="2"/>
  <c r="G141" i="2"/>
  <c r="G140" i="2"/>
  <c r="G138" i="2"/>
  <c r="G137" i="2"/>
  <c r="G135" i="2"/>
  <c r="G134" i="2"/>
  <c r="G133" i="2"/>
  <c r="G132" i="2"/>
  <c r="G130" i="2"/>
  <c r="G129" i="2"/>
  <c r="G128" i="2"/>
  <c r="G127" i="2"/>
  <c r="G126" i="2"/>
  <c r="G125" i="2"/>
  <c r="G124" i="2"/>
  <c r="G122" i="2"/>
  <c r="G121" i="2"/>
  <c r="G120" i="2"/>
  <c r="G119" i="2"/>
  <c r="G118" i="2"/>
  <c r="G117" i="2"/>
  <c r="G115" i="2"/>
  <c r="G114" i="2"/>
  <c r="G113" i="2"/>
  <c r="G112" i="2"/>
  <c r="G111" i="2"/>
  <c r="G110" i="2"/>
  <c r="G109" i="2"/>
  <c r="G108" i="2"/>
  <c r="G107" i="2"/>
  <c r="G106" i="2"/>
  <c r="G105" i="2"/>
  <c r="G103" i="2"/>
  <c r="G101" i="2"/>
  <c r="G100" i="2"/>
  <c r="G99" i="2"/>
  <c r="G98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6" i="2"/>
  <c r="G75" i="2"/>
  <c r="G74" i="2"/>
  <c r="G73" i="2"/>
  <c r="G72" i="2"/>
  <c r="G71" i="2"/>
  <c r="G69" i="2"/>
  <c r="G68" i="2"/>
  <c r="G67" i="2"/>
  <c r="G66" i="2"/>
  <c r="G64" i="2"/>
  <c r="G63" i="2"/>
  <c r="G62" i="2"/>
  <c r="G61" i="2"/>
  <c r="G57" i="2"/>
  <c r="G55" i="2"/>
  <c r="G54" i="2"/>
  <c r="G53" i="2"/>
  <c r="G52" i="2"/>
  <c r="G51" i="2"/>
  <c r="G50" i="2"/>
  <c r="G49" i="2"/>
  <c r="G48" i="2"/>
  <c r="G47" i="2"/>
  <c r="G43" i="2"/>
  <c r="G40" i="2"/>
  <c r="G38" i="2"/>
  <c r="G37" i="2"/>
  <c r="G32" i="2"/>
  <c r="G31" i="2"/>
  <c r="G29" i="2"/>
  <c r="G28" i="2"/>
  <c r="G27" i="2"/>
  <c r="G26" i="2"/>
  <c r="G25" i="2"/>
  <c r="G23" i="2"/>
  <c r="G19" i="2"/>
  <c r="G16" i="2"/>
  <c r="G14" i="2"/>
  <c r="G13" i="2"/>
  <c r="G12" i="2"/>
  <c r="G11" i="2"/>
  <c r="G160" i="2"/>
  <c r="F149" i="2"/>
  <c r="F148" i="2"/>
  <c r="F144" i="2"/>
  <c r="F141" i="2"/>
  <c r="F140" i="2"/>
  <c r="F138" i="2"/>
  <c r="F137" i="2"/>
  <c r="F135" i="2"/>
  <c r="F134" i="2"/>
  <c r="F133" i="2"/>
  <c r="F132" i="2"/>
  <c r="F130" i="2"/>
  <c r="F129" i="2"/>
  <c r="F128" i="2"/>
  <c r="F127" i="2"/>
  <c r="F126" i="2"/>
  <c r="F125" i="2"/>
  <c r="F124" i="2"/>
  <c r="F122" i="2"/>
  <c r="F121" i="2"/>
  <c r="F120" i="2"/>
  <c r="F119" i="2"/>
  <c r="F118" i="2"/>
  <c r="F117" i="2"/>
  <c r="F115" i="2"/>
  <c r="F114" i="2"/>
  <c r="F113" i="2"/>
  <c r="F112" i="2"/>
  <c r="F111" i="2"/>
  <c r="F110" i="2"/>
  <c r="F109" i="2"/>
  <c r="F108" i="2"/>
  <c r="F107" i="2"/>
  <c r="F106" i="2"/>
  <c r="F105" i="2"/>
  <c r="F103" i="2"/>
  <c r="F101" i="2"/>
  <c r="F100" i="2"/>
  <c r="F99" i="2"/>
  <c r="F98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6" i="2"/>
  <c r="F75" i="2"/>
  <c r="F74" i="2"/>
  <c r="F73" i="2"/>
  <c r="F72" i="2"/>
  <c r="F71" i="2"/>
  <c r="F69" i="2"/>
  <c r="F68" i="2"/>
  <c r="F67" i="2"/>
  <c r="F66" i="2"/>
  <c r="F64" i="2"/>
  <c r="F63" i="2"/>
  <c r="F62" i="2"/>
  <c r="F61" i="2"/>
  <c r="F57" i="2"/>
  <c r="F55" i="2"/>
  <c r="F54" i="2"/>
  <c r="F53" i="2"/>
  <c r="F52" i="2"/>
  <c r="F51" i="2"/>
  <c r="F50" i="2"/>
  <c r="F49" i="2"/>
  <c r="F48" i="2"/>
  <c r="F47" i="2"/>
  <c r="F43" i="2"/>
  <c r="F40" i="2"/>
  <c r="F38" i="2"/>
  <c r="F37" i="2"/>
  <c r="F32" i="2"/>
  <c r="F31" i="2"/>
  <c r="F29" i="2"/>
  <c r="F28" i="2"/>
  <c r="F27" i="2"/>
  <c r="F26" i="2"/>
  <c r="F25" i="2"/>
  <c r="F23" i="2"/>
  <c r="F19" i="2"/>
  <c r="F16" i="2"/>
  <c r="F14" i="2"/>
  <c r="F13" i="2"/>
  <c r="F12" i="2"/>
  <c r="F11" i="2"/>
  <c r="F160" i="2"/>
  <c r="C97" i="18" l="1"/>
  <c r="C86" i="18" s="1"/>
  <c r="G75" i="14" l="1"/>
  <c r="G74" i="14"/>
  <c r="G73" i="14"/>
  <c r="G70" i="14"/>
  <c r="G67" i="14"/>
  <c r="G66" i="14"/>
  <c r="F75" i="14"/>
  <c r="F74" i="14"/>
  <c r="F73" i="14"/>
  <c r="F70" i="14"/>
  <c r="F67" i="14"/>
  <c r="F66" i="14"/>
  <c r="E37" i="19"/>
  <c r="E69" i="14"/>
  <c r="E53" i="14"/>
  <c r="E57" i="14"/>
  <c r="E46" i="14"/>
  <c r="E47" i="14"/>
  <c r="E48" i="14"/>
  <c r="E34" i="14"/>
  <c r="E42" i="14"/>
  <c r="E139" i="2"/>
  <c r="E158" i="2"/>
  <c r="E159" i="2"/>
  <c r="E151" i="2"/>
  <c r="E136" i="2"/>
  <c r="E70" i="2"/>
  <c r="E77" i="2"/>
  <c r="E60" i="14" l="1"/>
  <c r="G40" i="19"/>
  <c r="F40" i="19"/>
  <c r="G37" i="19"/>
  <c r="F37" i="19"/>
  <c r="E29" i="19"/>
  <c r="E49" i="14" s="1"/>
  <c r="E18" i="2"/>
  <c r="G20" i="2"/>
  <c r="F20" i="2"/>
  <c r="E163" i="2"/>
  <c r="E169" i="2" s="1"/>
  <c r="G10" i="2"/>
  <c r="F10" i="2"/>
  <c r="G104" i="2"/>
  <c r="F104" i="2"/>
  <c r="G116" i="2"/>
  <c r="F116" i="2"/>
  <c r="F123" i="2"/>
  <c r="G123" i="2"/>
  <c r="G15" i="2"/>
  <c r="F15" i="2"/>
  <c r="E152" i="2"/>
  <c r="E39" i="14"/>
  <c r="G139" i="2"/>
  <c r="F139" i="2"/>
  <c r="E102" i="2"/>
  <c r="E40" i="14"/>
  <c r="E72" i="14"/>
  <c r="E14" i="11"/>
  <c r="E15" i="11"/>
  <c r="F23" i="18" l="1"/>
  <c r="G23" i="18"/>
  <c r="E97" i="2"/>
  <c r="E64" i="14"/>
  <c r="E56" i="14" l="1"/>
  <c r="G45" i="18"/>
  <c r="F45" i="18"/>
  <c r="F19" i="18"/>
  <c r="G19" i="18"/>
  <c r="F27" i="18" l="1"/>
  <c r="G27" i="18"/>
  <c r="F21" i="18"/>
  <c r="G21" i="18"/>
  <c r="F29" i="18"/>
  <c r="G29" i="18"/>
  <c r="F22" i="18"/>
  <c r="G22" i="18"/>
  <c r="F25" i="18"/>
  <c r="G25" i="18"/>
  <c r="G94" i="18" l="1"/>
  <c r="F94" i="18"/>
  <c r="F26" i="18"/>
  <c r="G26" i="18"/>
  <c r="G91" i="18"/>
  <c r="F91" i="18"/>
  <c r="G96" i="18"/>
  <c r="F96" i="18"/>
  <c r="E12" i="18" l="1"/>
  <c r="E20" i="18" s="1"/>
  <c r="E30" i="18" s="1"/>
  <c r="E32" i="18" s="1"/>
  <c r="G79" i="18"/>
  <c r="F79" i="18"/>
  <c r="F17" i="18"/>
  <c r="G17" i="18"/>
  <c r="G103" i="18"/>
  <c r="F103" i="18"/>
  <c r="G92" i="18"/>
  <c r="F92" i="18"/>
  <c r="G100" i="18"/>
  <c r="F100" i="18"/>
  <c r="G104" i="18"/>
  <c r="F104" i="18"/>
  <c r="F16" i="18"/>
  <c r="G16" i="18"/>
  <c r="G101" i="18"/>
  <c r="F101" i="18"/>
  <c r="G107" i="18"/>
  <c r="F107" i="18"/>
  <c r="G105" i="18"/>
  <c r="F105" i="18"/>
  <c r="G108" i="18"/>
  <c r="F108" i="18"/>
  <c r="G106" i="18"/>
  <c r="F106" i="18"/>
  <c r="G89" i="18"/>
  <c r="F89" i="18"/>
  <c r="E16" i="19"/>
  <c r="E145" i="18" l="1"/>
  <c r="E144" i="18"/>
  <c r="E146" i="18" s="1"/>
  <c r="F12" i="18"/>
  <c r="G12" i="18"/>
  <c r="F16" i="19"/>
  <c r="G16" i="19"/>
  <c r="G58" i="2" l="1"/>
  <c r="F58" i="2"/>
  <c r="G59" i="2"/>
  <c r="F59" i="2"/>
  <c r="G60" i="2"/>
  <c r="F60" i="2"/>
  <c r="G56" i="2"/>
  <c r="F56" i="2"/>
  <c r="E45" i="2"/>
  <c r="E46" i="19" l="1"/>
  <c r="E44" i="2"/>
  <c r="G168" i="2"/>
  <c r="F168" i="2"/>
  <c r="E17" i="11"/>
  <c r="F65" i="2"/>
  <c r="G65" i="2"/>
  <c r="E157" i="2"/>
  <c r="E50" i="14"/>
  <c r="E51" i="14" s="1"/>
  <c r="E170" i="2"/>
  <c r="E54" i="14" l="1"/>
  <c r="G39" i="2"/>
  <c r="F39" i="2"/>
  <c r="G33" i="2"/>
  <c r="F33" i="2"/>
  <c r="E33" i="14"/>
  <c r="E9" i="2"/>
  <c r="E7" i="2" l="1"/>
  <c r="E18" i="11" s="1"/>
  <c r="G8" i="2"/>
  <c r="F8" i="2"/>
  <c r="E35" i="14"/>
  <c r="E30" i="14"/>
  <c r="E154" i="2"/>
  <c r="E31" i="14"/>
  <c r="E21" i="2"/>
  <c r="E32" i="14" l="1"/>
  <c r="E7" i="11" s="1"/>
  <c r="E153" i="2"/>
  <c r="E150" i="2"/>
  <c r="E131" i="2"/>
  <c r="E142" i="2" s="1"/>
  <c r="E36" i="14" l="1"/>
  <c r="E41" i="14" s="1"/>
  <c r="E156" i="2"/>
  <c r="E161" i="2" s="1"/>
  <c r="E145" i="2"/>
  <c r="E21" i="19" s="1"/>
  <c r="E147" i="2" l="1"/>
  <c r="E146" i="2"/>
  <c r="G49" i="18"/>
  <c r="F49" i="18"/>
  <c r="G47" i="18"/>
  <c r="F47" i="18"/>
  <c r="E37" i="14"/>
  <c r="E43" i="14"/>
  <c r="G46" i="18" l="1"/>
  <c r="F46" i="18"/>
  <c r="E11" i="11"/>
  <c r="E10" i="11"/>
  <c r="E63" i="14"/>
  <c r="E62" i="14"/>
  <c r="E44" i="14"/>
  <c r="E9" i="11"/>
  <c r="E38" i="14"/>
  <c r="E13" i="11"/>
  <c r="E8" i="11"/>
  <c r="E55" i="14" l="1"/>
  <c r="C159" i="2"/>
  <c r="C158" i="2"/>
  <c r="C97" i="2"/>
  <c r="E58" i="14" l="1"/>
  <c r="E68" i="14" s="1"/>
  <c r="C44" i="2"/>
  <c r="C35" i="14"/>
  <c r="F88" i="18" l="1"/>
  <c r="G88" i="18"/>
  <c r="C29" i="19"/>
  <c r="C139" i="2"/>
  <c r="C46" i="19" l="1"/>
  <c r="C49" i="14"/>
  <c r="C51" i="14" s="1"/>
  <c r="C33" i="14"/>
  <c r="D136" i="2" l="1"/>
  <c r="G6" i="3" l="1"/>
  <c r="F6" i="3"/>
  <c r="F44" i="18"/>
  <c r="G44" i="18"/>
  <c r="F70" i="2"/>
  <c r="G70" i="2"/>
  <c r="G77" i="2"/>
  <c r="F77" i="2"/>
  <c r="G30" i="2"/>
  <c r="F30" i="2"/>
  <c r="G102" i="2"/>
  <c r="F102" i="2"/>
  <c r="F166" i="2"/>
  <c r="G166" i="2"/>
  <c r="G24" i="2"/>
  <c r="F24" i="2"/>
  <c r="G167" i="2"/>
  <c r="F167" i="2"/>
  <c r="F45" i="2"/>
  <c r="G45" i="2"/>
  <c r="D40" i="14"/>
  <c r="G40" i="14" s="1"/>
  <c r="G136" i="2"/>
  <c r="F136" i="2"/>
  <c r="F40" i="14"/>
  <c r="F42" i="18" l="1"/>
  <c r="G42" i="18"/>
  <c r="F44" i="2"/>
  <c r="G44" i="2"/>
  <c r="G22" i="2"/>
  <c r="F22" i="2"/>
  <c r="D122" i="18" l="1"/>
  <c r="D25" i="19"/>
  <c r="D24" i="19"/>
  <c r="G122" i="18" l="1"/>
  <c r="F122" i="18"/>
  <c r="G97" i="18"/>
  <c r="F97" i="18"/>
  <c r="G24" i="19"/>
  <c r="F24" i="19"/>
  <c r="G25" i="19"/>
  <c r="F25" i="19"/>
  <c r="D23" i="19"/>
  <c r="G23" i="19" l="1"/>
  <c r="F23" i="19"/>
  <c r="F7" i="2" l="1"/>
  <c r="G7" i="2"/>
  <c r="D97" i="2" l="1"/>
  <c r="G33" i="19" l="1"/>
  <c r="F33" i="19"/>
  <c r="G44" i="19"/>
  <c r="F44" i="19"/>
  <c r="F97" i="2"/>
  <c r="G97" i="2"/>
  <c r="D29" i="19"/>
  <c r="G29" i="19" l="1"/>
  <c r="F29" i="19"/>
  <c r="C150" i="2" l="1"/>
  <c r="C7" i="2" l="1"/>
  <c r="C30" i="14" s="1"/>
  <c r="F165" i="2" l="1"/>
  <c r="G165" i="2"/>
  <c r="G164" i="2"/>
  <c r="F164" i="2"/>
  <c r="F78" i="18" l="1"/>
  <c r="G78" i="18"/>
  <c r="C140" i="18" l="1"/>
  <c r="C56" i="14" s="1"/>
  <c r="C31" i="18" l="1"/>
  <c r="C51" i="18" l="1"/>
  <c r="C110" i="18" l="1"/>
  <c r="C55" i="14" l="1"/>
  <c r="C136" i="2"/>
  <c r="C40" i="14" s="1"/>
  <c r="C9" i="2"/>
  <c r="C31" i="14" s="1"/>
  <c r="C32" i="14" s="1"/>
  <c r="C36" i="14" s="1"/>
  <c r="C41" i="14" l="1"/>
  <c r="C152" i="2"/>
  <c r="C153" i="2"/>
  <c r="C21" i="2"/>
  <c r="G69" i="14" l="1"/>
  <c r="F69" i="14"/>
  <c r="G71" i="14" l="1"/>
  <c r="F71" i="14"/>
  <c r="D57" i="14" l="1"/>
  <c r="D53" i="14"/>
  <c r="D46" i="14"/>
  <c r="D49" i="14"/>
  <c r="D48" i="14"/>
  <c r="G46" i="14" l="1"/>
  <c r="F46" i="14"/>
  <c r="F48" i="14"/>
  <c r="G48" i="14"/>
  <c r="G53" i="14"/>
  <c r="F53" i="14"/>
  <c r="F49" i="14"/>
  <c r="G49" i="14"/>
  <c r="F57" i="14"/>
  <c r="G57" i="14"/>
  <c r="D64" i="14" l="1"/>
  <c r="F72" i="14"/>
  <c r="G72" i="14"/>
  <c r="G64" i="14" l="1"/>
  <c r="F64" i="14"/>
  <c r="D60" i="14"/>
  <c r="D140" i="18"/>
  <c r="G140" i="18" l="1"/>
  <c r="F140" i="18"/>
  <c r="G51" i="18"/>
  <c r="F51" i="18"/>
  <c r="F60" i="14"/>
  <c r="G60" i="14"/>
  <c r="C60" i="14"/>
  <c r="D56" i="14"/>
  <c r="F56" i="14" l="1"/>
  <c r="G56" i="14"/>
  <c r="D159" i="2" l="1"/>
  <c r="D158" i="2"/>
  <c r="D151" i="2"/>
  <c r="D35" i="14"/>
  <c r="D34" i="14"/>
  <c r="D33" i="14"/>
  <c r="D30" i="14"/>
  <c r="G45" i="19" l="1"/>
  <c r="F45" i="19"/>
  <c r="G158" i="2"/>
  <c r="F158" i="2"/>
  <c r="F159" i="2"/>
  <c r="G159" i="2"/>
  <c r="D39" i="14"/>
  <c r="G39" i="14" s="1"/>
  <c r="F151" i="2"/>
  <c r="G151" i="2"/>
  <c r="G34" i="14"/>
  <c r="F34" i="14"/>
  <c r="G30" i="14"/>
  <c r="F30" i="14"/>
  <c r="G35" i="14"/>
  <c r="F35" i="14"/>
  <c r="F33" i="14"/>
  <c r="G33" i="14"/>
  <c r="D50" i="14"/>
  <c r="D152" i="2"/>
  <c r="D157" i="2"/>
  <c r="D150" i="2"/>
  <c r="D153" i="2"/>
  <c r="F39" i="14" l="1"/>
  <c r="F152" i="2"/>
  <c r="G152" i="2"/>
  <c r="F163" i="2"/>
  <c r="G163" i="2"/>
  <c r="G153" i="2"/>
  <c r="F153" i="2"/>
  <c r="F157" i="2"/>
  <c r="G157" i="2"/>
  <c r="G150" i="2"/>
  <c r="F150" i="2"/>
  <c r="F50" i="14"/>
  <c r="G50" i="14"/>
  <c r="G20" i="18" l="1"/>
  <c r="F20" i="18"/>
  <c r="G30" i="18" l="1"/>
  <c r="F30" i="18"/>
  <c r="F32" i="18" l="1"/>
  <c r="G32" i="18"/>
  <c r="D54" i="14"/>
  <c r="C157" i="2"/>
  <c r="C64" i="14" l="1"/>
  <c r="G54" i="14"/>
  <c r="F54" i="14"/>
  <c r="C131" i="2"/>
  <c r="C142" i="2" s="1"/>
  <c r="C154" i="2"/>
  <c r="C156" i="2" l="1"/>
  <c r="C161" i="2" s="1"/>
  <c r="C37" i="14" s="1"/>
  <c r="C38" i="14" s="1"/>
  <c r="C145" i="2" l="1"/>
  <c r="C21" i="19" s="1"/>
  <c r="C20" i="18"/>
  <c r="C43" i="14" l="1"/>
  <c r="C146" i="2"/>
  <c r="C147" i="2"/>
  <c r="C30" i="18"/>
  <c r="C32" i="18" s="1"/>
  <c r="C44" i="14" l="1"/>
  <c r="C63" i="14"/>
  <c r="C62" i="14"/>
  <c r="C54" i="14"/>
  <c r="C144" i="18"/>
  <c r="C145" i="18"/>
  <c r="C58" i="14" l="1"/>
  <c r="G86" i="18" l="1"/>
  <c r="F86" i="18"/>
  <c r="D110" i="18"/>
  <c r="D144" i="18" s="1"/>
  <c r="F144" i="18" l="1"/>
  <c r="G144" i="18"/>
  <c r="D145" i="18"/>
  <c r="G110" i="18"/>
  <c r="F110" i="18"/>
  <c r="D55" i="14"/>
  <c r="F55" i="14" s="1"/>
  <c r="D58" i="14"/>
  <c r="D68" i="14" s="1"/>
  <c r="G55" i="14" l="1"/>
  <c r="G145" i="18"/>
  <c r="F145" i="18"/>
  <c r="F68" i="14"/>
  <c r="G68" i="14"/>
  <c r="F58" i="14"/>
  <c r="G58" i="14"/>
  <c r="G18" i="2" l="1"/>
  <c r="F18" i="2"/>
  <c r="F9" i="2"/>
  <c r="G21" i="2"/>
  <c r="D131" i="2" l="1"/>
  <c r="G131" i="2" s="1"/>
  <c r="G9" i="2"/>
  <c r="F21" i="2"/>
  <c r="D31" i="14"/>
  <c r="D156" i="2" l="1"/>
  <c r="G156" i="2" s="1"/>
  <c r="D142" i="2"/>
  <c r="G142" i="2" s="1"/>
  <c r="F131" i="2"/>
  <c r="D32" i="14"/>
  <c r="G31" i="14"/>
  <c r="F31" i="14"/>
  <c r="F142" i="2" l="1"/>
  <c r="F156" i="2"/>
  <c r="D161" i="2"/>
  <c r="F161" i="2" s="1"/>
  <c r="D145" i="2"/>
  <c r="F145" i="2" s="1"/>
  <c r="G143" i="2"/>
  <c r="F143" i="2"/>
  <c r="D42" i="14"/>
  <c r="D154" i="2"/>
  <c r="F32" i="14"/>
  <c r="D36" i="14"/>
  <c r="G32" i="14"/>
  <c r="D37" i="14" l="1"/>
  <c r="F37" i="14" s="1"/>
  <c r="G161" i="2"/>
  <c r="D146" i="2"/>
  <c r="F146" i="2" s="1"/>
  <c r="D147" i="2"/>
  <c r="F147" i="2" s="1"/>
  <c r="D43" i="14"/>
  <c r="G43" i="14" s="1"/>
  <c r="D21" i="19"/>
  <c r="G21" i="19" s="1"/>
  <c r="G145" i="2"/>
  <c r="F154" i="2"/>
  <c r="G154" i="2"/>
  <c r="F43" i="14"/>
  <c r="D44" i="14"/>
  <c r="D62" i="14"/>
  <c r="F26" i="19"/>
  <c r="G26" i="19"/>
  <c r="D47" i="14"/>
  <c r="D38" i="14"/>
  <c r="G36" i="14"/>
  <c r="F36" i="14"/>
  <c r="D41" i="14"/>
  <c r="F42" i="14"/>
  <c r="G42" i="14"/>
  <c r="G37" i="14" l="1"/>
  <c r="G147" i="2"/>
  <c r="G146" i="2"/>
  <c r="D63" i="14"/>
  <c r="G63" i="14" s="1"/>
  <c r="F21" i="19"/>
  <c r="D51" i="14"/>
  <c r="F47" i="14"/>
  <c r="G47" i="14"/>
  <c r="F169" i="2"/>
  <c r="G169" i="2"/>
  <c r="F62" i="14"/>
  <c r="G62" i="14"/>
  <c r="F44" i="14"/>
  <c r="G44" i="14"/>
  <c r="G41" i="14"/>
  <c r="F41" i="14"/>
  <c r="F46" i="19"/>
  <c r="G46" i="19"/>
  <c r="G38" i="14"/>
  <c r="F38" i="14"/>
  <c r="F63" i="14" l="1"/>
  <c r="G170" i="2"/>
  <c r="F170" i="2"/>
  <c r="G51" i="14"/>
  <c r="F51" i="14"/>
</calcChain>
</file>

<file path=xl/sharedStrings.xml><?xml version="1.0" encoding="utf-8"?>
<sst xmlns="http://schemas.openxmlformats.org/spreadsheetml/2006/main" count="744" uniqueCount="623">
  <si>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</si>
  <si>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</si>
  <si>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</si>
  <si>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</si>
  <si>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</si>
  <si>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</si>
  <si>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</si>
  <si>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</si>
  <si>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</si>
  <si>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</si>
  <si>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</si>
  <si>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</si>
  <si>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</si>
  <si>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</si>
  <si>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</si>
  <si>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</si>
  <si>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</si>
  <si>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</si>
  <si>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</si>
  <si>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</si>
  <si>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</si>
  <si>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</si>
  <si>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</si>
  <si>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</si>
  <si>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</si>
  <si>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</si>
  <si>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</si>
  <si>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</si>
  <si>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</si>
  <si>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</si>
  <si>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</si>
  <si>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</si>
  <si>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</si>
  <si>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</si>
  <si>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</si>
  <si>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</si>
  <si>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</si>
  <si>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</si>
  <si>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</si>
  <si>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</si>
  <si>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</si>
  <si>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</si>
  <si>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</si>
  <si>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</si>
  <si>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</si>
  <si>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</si>
  <si>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</si>
  <si>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</si>
  <si>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</si>
  <si>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</si>
  <si>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</si>
  <si>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</si>
  <si>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</si>
  <si>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</si>
  <si>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Усього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</si>
  <si>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</si>
  <si>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</si>
  <si>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</si>
  <si>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</si>
  <si>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</si>
  <si>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</si>
  <si>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</si>
  <si>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</si>
  <si>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</si>
  <si>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</si>
  <si>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</si>
  <si>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</si>
  <si>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</si>
  <si>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</si>
  <si>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</si>
  <si>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</si>
  <si>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</si>
  <si>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</si>
  <si>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</si>
  <si>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</si>
  <si>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</si>
  <si>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</si>
  <si>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</si>
  <si>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</si>
  <si>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</si>
  <si>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</si>
  <si>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</si>
  <si>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</si>
  <si>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</si>
  <si>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</si>
  <si>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</si>
  <si>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</si>
  <si>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</si>
  <si>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</si>
  <si>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</si>
  <si>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</si>
  <si>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</si>
  <si>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</si>
  <si>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</si>
  <si>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</si>
  <si>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</si>
  <si>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</si>
  <si>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</si>
  <si>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</si>
  <si>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</si>
  <si>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</si>
  <si>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</si>
  <si>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</si>
  <si>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</si>
  <si>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</si>
  <si>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</si>
  <si>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</si>
  <si>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</si>
  <si>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</si>
  <si>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</si>
  <si>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</si>
  <si>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</si>
  <si>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</si>
  <si>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</si>
  <si>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</si>
  <si>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</si>
  <si>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</si>
  <si>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</si>
  <si>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</si>
  <si>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</si>
  <si>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</si>
  <si>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</si>
  <si>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</si>
  <si>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</si>
  <si>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</si>
  <si>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</si>
  <si>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</si>
  <si>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</si>
  <si>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</si>
  <si>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</si>
  <si>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</si>
  <si>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</si>
  <si>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</si>
  <si>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</si>
  <si>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</si>
  <si>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</si>
  <si>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</si>
  <si>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</si>
  <si>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</si>
  <si>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</si>
  <si>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</si>
  <si>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</si>
  <si>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</si>
  <si>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</si>
  <si>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</si>
  <si>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</si>
  <si>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</si>
  <si>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</si>
  <si>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</si>
  <si>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</si>
  <si>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</si>
  <si>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</si>
  <si>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</si>
  <si>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</si>
  <si>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</si>
  <si>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</si>
  <si>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</si>
  <si>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</si>
  <si>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</si>
  <si>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</si>
  <si>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</si>
  <si>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</si>
  <si>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</si>
  <si>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</si>
  <si>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</si>
  <si>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</si>
  <si>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</si>
  <si>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інші витрати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</si>
  <si>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</si>
  <si>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</si>
  <si>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</si>
  <si>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</si>
  <si>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</si>
  <si>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</si>
  <si>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</si>
  <si>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</si>
  <si>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</si>
  <si>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</si>
  <si>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</si>
  <si>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</si>
  <si>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</si>
  <si>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</si>
  <si>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</si>
  <si>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</si>
  <si>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</si>
  <si>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</si>
  <si>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</si>
  <si>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</si>
  <si>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</si>
  <si>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</si>
  <si>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</si>
  <si>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</si>
  <si>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</si>
  <si>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</si>
  <si>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</si>
  <si>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</si>
  <si>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</si>
  <si>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Коди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</si>
  <si>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</si>
  <si>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</si>
  <si>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</si>
  <si>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</si>
  <si>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</si>
  <si>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</si>
  <si>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</si>
  <si>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</si>
  <si>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</si>
  <si>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</si>
  <si>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</si>
  <si>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</si>
  <si>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</si>
  <si>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</si>
  <si>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</si>
  <si>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</si>
  <si>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</si>
  <si>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</si>
  <si>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</si>
  <si>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</si>
  <si>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</si>
  <si>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</si>
  <si>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</si>
  <si>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</si>
  <si>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</si>
  <si>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</si>
  <si>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</si>
  <si>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</si>
  <si>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</si>
  <si>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</si>
  <si>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</si>
  <si>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</si>
  <si>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</si>
  <si>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</si>
  <si>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</si>
  <si>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</si>
  <si>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</si>
  <si>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</si>
  <si>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</si>
  <si>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</si>
  <si>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</si>
  <si>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</si>
  <si>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</si>
  <si>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</si>
  <si>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</si>
  <si>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</si>
  <si>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</si>
  <si>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</si>
  <si>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</si>
  <si>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</si>
  <si>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</si>
  <si>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</si>
  <si>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</si>
  <si>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</si>
  <si>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</si>
  <si>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</si>
  <si>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</si>
  <si>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</si>
  <si>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>військовий збір</t>
  </si>
  <si>
    <t>2147/1</t>
  </si>
  <si>
    <t>1160/1</t>
  </si>
  <si>
    <t>1062/1</t>
  </si>
  <si>
    <t>1062/2</t>
  </si>
  <si>
    <t>1062/3</t>
  </si>
  <si>
    <t>1062/4</t>
  </si>
  <si>
    <t>1085/1</t>
  </si>
  <si>
    <t>1085/2</t>
  </si>
  <si>
    <t>1085/3</t>
  </si>
  <si>
    <t>1030/1</t>
  </si>
  <si>
    <t>у тому числі за основними видами діяльності за КВЕД 81.29</t>
  </si>
  <si>
    <t>2147/2</t>
  </si>
  <si>
    <t>Пасажирський наземний транспорт міського та приміського сполучення</t>
  </si>
  <si>
    <t>витрати на тепловодопостачання</t>
  </si>
  <si>
    <t>1030/2</t>
  </si>
  <si>
    <t>1030/3</t>
  </si>
  <si>
    <t>1030/4</t>
  </si>
  <si>
    <t>1030/5</t>
  </si>
  <si>
    <t>1030/6</t>
  </si>
  <si>
    <t>дохід від реалізації інших оборотних активів</t>
  </si>
  <si>
    <t>дохід від операційної оренди активів</t>
  </si>
  <si>
    <t>цільове фінансування (субсидії та поточні трансферти)</t>
  </si>
  <si>
    <t>1060/1</t>
  </si>
  <si>
    <t>1060/2</t>
  </si>
  <si>
    <t>1060/3</t>
  </si>
  <si>
    <t>1060/4</t>
  </si>
  <si>
    <t>1062/5</t>
  </si>
  <si>
    <t>1062/6</t>
  </si>
  <si>
    <t>1062/7</t>
  </si>
  <si>
    <t>1062/8</t>
  </si>
  <si>
    <t>1062/9</t>
  </si>
  <si>
    <t>1062/10</t>
  </si>
  <si>
    <t>1062/11</t>
  </si>
  <si>
    <t>послуги інкасації</t>
  </si>
  <si>
    <t>податки до бюджету</t>
  </si>
  <si>
    <t>послуги банку</t>
  </si>
  <si>
    <t>оформлення правоустановлюючих документів,ліцензій</t>
  </si>
  <si>
    <t>друкування креслень</t>
  </si>
  <si>
    <t>підготовка кадрів</t>
  </si>
  <si>
    <t>проїзні квитки для виробничих потреб</t>
  </si>
  <si>
    <t>компенсація зносу будівель</t>
  </si>
  <si>
    <t>інші адміністративні витрати</t>
  </si>
  <si>
    <t>1085/4</t>
  </si>
  <si>
    <t>1085/5</t>
  </si>
  <si>
    <t>1085/6</t>
  </si>
  <si>
    <t>1085/7</t>
  </si>
  <si>
    <t>1085/8</t>
  </si>
  <si>
    <t>1085/9</t>
  </si>
  <si>
    <t>1085/10</t>
  </si>
  <si>
    <t>1085/11</t>
  </si>
  <si>
    <t>1085/12</t>
  </si>
  <si>
    <t>1085/13</t>
  </si>
  <si>
    <t>1085/14</t>
  </si>
  <si>
    <t>1085/15</t>
  </si>
  <si>
    <t>страхування працівників</t>
  </si>
  <si>
    <t>витрати пов’язані з наданням активів в операційну оренду</t>
  </si>
  <si>
    <t>перерахування коштів профкому</t>
  </si>
  <si>
    <t>витрати на утримання музею історії метрополітену</t>
  </si>
  <si>
    <t>витрати на благоустрій территорії(суботники,озеленення та інше)</t>
  </si>
  <si>
    <t>витрати до річниці метрополітену та державних свят</t>
  </si>
  <si>
    <t>витрати на облаштування кімнат відпочинку машиністів</t>
  </si>
  <si>
    <t>оплата 5-ти днів лікарняних за рахунок підприємства з нарахуваннями</t>
  </si>
  <si>
    <t>інші операційні витрати</t>
  </si>
  <si>
    <t>середня заробітна плата мобілізованих за рахунок підприємства з нарахуваннями</t>
  </si>
  <si>
    <t>1150/1</t>
  </si>
  <si>
    <t>дохід від безоплатно отриманих необоротних активів</t>
  </si>
  <si>
    <t>списання необоротних активів</t>
  </si>
  <si>
    <t>1041/1</t>
  </si>
  <si>
    <t>1041/2</t>
  </si>
  <si>
    <t>1041/3</t>
  </si>
  <si>
    <t>1041/4</t>
  </si>
  <si>
    <t>1041/5</t>
  </si>
  <si>
    <t>1041/6</t>
  </si>
  <si>
    <t>матеріали, запчастини</t>
  </si>
  <si>
    <t>паливо</t>
  </si>
  <si>
    <t>амортизація основних засобів</t>
  </si>
  <si>
    <t>в т.ч. амортизація</t>
  </si>
  <si>
    <t>2060/1</t>
  </si>
  <si>
    <t>податок на нерухоме майно</t>
  </si>
  <si>
    <t>екологічний податок</t>
  </si>
  <si>
    <t>рентна плата за спецводовикористання</t>
  </si>
  <si>
    <t>рентна плата за користування радіочастотним ресурсом</t>
  </si>
  <si>
    <t>2146/1</t>
  </si>
  <si>
    <t>2146/2</t>
  </si>
  <si>
    <t>2147/3</t>
  </si>
  <si>
    <t>2147/4</t>
  </si>
  <si>
    <t>3030/1</t>
  </si>
  <si>
    <t>3310/1</t>
  </si>
  <si>
    <t>3310/2</t>
  </si>
  <si>
    <t>3030/2</t>
  </si>
  <si>
    <t>3060/1</t>
  </si>
  <si>
    <t>3310/3</t>
  </si>
  <si>
    <t>3030/3</t>
  </si>
  <si>
    <t>Комунальне підприємство</t>
  </si>
  <si>
    <t>49.31</t>
  </si>
  <si>
    <t>КОМУНАЛЬНА ВЛАСНІСТЬ</t>
  </si>
  <si>
    <t>1062/13</t>
  </si>
  <si>
    <t xml:space="preserve">відведення земельних ділянок </t>
  </si>
  <si>
    <t xml:space="preserve"> в т.ч. витрати на соціальні заходи</t>
  </si>
  <si>
    <t>дооцінка основних засобів</t>
  </si>
  <si>
    <t>3030/4</t>
  </si>
  <si>
    <t>Міські, районні у містах ради та їх виконавчі комітети</t>
  </si>
  <si>
    <t>з підвищенням цін</t>
  </si>
  <si>
    <t>"</t>
  </si>
  <si>
    <t>з підвищенням цін і тарифів</t>
  </si>
  <si>
    <t>за рішенням сесії міської ради</t>
  </si>
  <si>
    <t xml:space="preserve">з підвищ. мін. зарплати </t>
  </si>
  <si>
    <t>з будівництвом МП</t>
  </si>
  <si>
    <r>
      <t xml:space="preserve">Характеризує співвідношення власних та позикових коштів і залежність підприємства від зовнішніх фінансових </t>
    </r>
    <r>
      <rPr>
        <sz val="12"/>
        <rFont val="Times New Roman"/>
        <family val="1"/>
        <charset val="204"/>
      </rPr>
      <t>джерел</t>
    </r>
  </si>
  <si>
    <t xml:space="preserve">        Х</t>
  </si>
  <si>
    <t>3270/1</t>
  </si>
  <si>
    <t xml:space="preserve"> витрати, що здійснюються для підтримання об’єкта в робочому стані (проведення ремонту, технічного огляду, нагляду, обслуговування тощо)</t>
  </si>
  <si>
    <t>3270/2</t>
  </si>
  <si>
    <t>цільове фінансування капітальних інвестицій у розмірі амортизації</t>
  </si>
  <si>
    <t>1030/8</t>
  </si>
  <si>
    <t>3030/5</t>
  </si>
  <si>
    <t>3470/1</t>
  </si>
  <si>
    <t xml:space="preserve">матеріальна допомога на лікування працівників у випадках важкого  захворювання з нарахуваннями </t>
  </si>
  <si>
    <t>1085/7/1</t>
  </si>
  <si>
    <t>1085/14/1</t>
  </si>
  <si>
    <t>1085/16</t>
  </si>
  <si>
    <t>КП "Дніпровський метрополітен"</t>
  </si>
  <si>
    <t>МЕТРОПОЛІТЕННИЙ  ТРАНСПОРТ  ЗАГАЛЬНОГО  КОРИСТУВАННЯ</t>
  </si>
  <si>
    <t>дохід від списання кредиторської заборгованності, строк позову щодо якої минув</t>
  </si>
  <si>
    <t>Придбання колійновимірювального візка ПТ-7МК</t>
  </si>
  <si>
    <t>3310/3/2</t>
  </si>
  <si>
    <t>3270/3</t>
  </si>
  <si>
    <t>3270/4</t>
  </si>
  <si>
    <t>3270/5</t>
  </si>
  <si>
    <t>3270/6</t>
  </si>
  <si>
    <t>3270/7</t>
  </si>
  <si>
    <t>3270/8</t>
  </si>
  <si>
    <t>3270/9</t>
  </si>
  <si>
    <t>3270/10</t>
  </si>
  <si>
    <t>3270/11</t>
  </si>
  <si>
    <t>3310/2/1</t>
  </si>
  <si>
    <t>3310/2/2</t>
  </si>
  <si>
    <t>3310/2/3</t>
  </si>
  <si>
    <t>Інші платежі</t>
  </si>
  <si>
    <t>3310/3/3</t>
  </si>
  <si>
    <t>3310/3/4</t>
  </si>
  <si>
    <t>3310/3/6</t>
  </si>
  <si>
    <t>3310/3/7</t>
  </si>
  <si>
    <t>3470/2</t>
  </si>
  <si>
    <t xml:space="preserve">фінансування коригування проекту "Будівництво першої черги метрополітену у м.Дніпропетровську" I-й  та III-й пускові комплекси </t>
  </si>
  <si>
    <t xml:space="preserve"> коригування проекту "Будівництво першої черги метрополітену у м.Дніпропетровську" I-й  та III-й пускові комплекси </t>
  </si>
  <si>
    <t>3280/1</t>
  </si>
  <si>
    <t>3280/2</t>
  </si>
  <si>
    <t>3310/3/8</t>
  </si>
  <si>
    <t>3310/3/9</t>
  </si>
  <si>
    <t>3310/3/10</t>
  </si>
  <si>
    <t>3310/2/4</t>
  </si>
  <si>
    <t>3270/13</t>
  </si>
  <si>
    <t>3270/15</t>
  </si>
  <si>
    <t>3270/17</t>
  </si>
  <si>
    <t>3270/18</t>
  </si>
  <si>
    <t>3310/3/11</t>
  </si>
  <si>
    <t>3310/3/12</t>
  </si>
  <si>
    <t>Придбання ультразвукового товщиноміра</t>
  </si>
  <si>
    <t>3270/19</t>
  </si>
  <si>
    <t>3270/21</t>
  </si>
  <si>
    <t>Відефільм про метрополітен</t>
  </si>
  <si>
    <t>3290/1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</si>
  <si>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м.Дніпропетровськ",Турція</t>
  </si>
  <si>
    <t>3280/3</t>
  </si>
  <si>
    <t>фінансування на регулювання тарифу</t>
  </si>
  <si>
    <t xml:space="preserve">фінансування на капітальні ремонти </t>
  </si>
  <si>
    <t>1030/6/1</t>
  </si>
  <si>
    <t>1030/6/2</t>
  </si>
  <si>
    <t>1030/6/3</t>
  </si>
  <si>
    <t xml:space="preserve">з підвищ. прожитков. мінім.та мін. зарплати </t>
  </si>
  <si>
    <t>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</si>
  <si>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потравка гризунів,   комах в тунелі та на станціях метрополітену</t>
  </si>
  <si>
    <t>з необхідністю про- ведення дератизації та дезінсекції</t>
  </si>
  <si>
    <t>фінансування на страхування працівників</t>
  </si>
  <si>
    <t>з підвищенням тарифу</t>
  </si>
  <si>
    <t>капітальний ремонт</t>
  </si>
  <si>
    <t>1060/5</t>
  </si>
  <si>
    <t>витрати на сировину, запчастини  та основні матеріали</t>
  </si>
  <si>
    <t xml:space="preserve"> </t>
  </si>
  <si>
    <t>витрати на профілактичні роботи із запобігання виникнення надзвичайних ситуацій техногенного характеру  (ВГРЗ)</t>
  </si>
  <si>
    <t>Відрахування частини чистого прибутку, усього,                                   у тому числі:</t>
  </si>
  <si>
    <t>технічне переоснащення, модифікація (добудова, дообладнання, реконструкція) основних засобів</t>
  </si>
  <si>
    <t>Придбання переносного стенда  для перевірки системи АРШ-Д вагонів метро типу 81-717.5</t>
  </si>
  <si>
    <t xml:space="preserve">Придбання вимірювального комплексу контролю положення контактної рейки </t>
  </si>
  <si>
    <t>Придбання скоби для вимірів діаметрів колісних пар рухомого складу</t>
  </si>
  <si>
    <t>Придбання пресу для перепресовки колісних пар вагонів метро</t>
  </si>
  <si>
    <t>з придбанням основ. засобів</t>
  </si>
  <si>
    <t>визнані штрафи, пені, неустойки</t>
  </si>
  <si>
    <t>1030/9</t>
  </si>
  <si>
    <t>Придбання інших основниїх засобів</t>
  </si>
  <si>
    <t>технічне переоснащення , модифікація (добудова, дообладнання, реконструкція) основних засобів</t>
  </si>
  <si>
    <t xml:space="preserve"> 3310/4</t>
  </si>
  <si>
    <t>1000/1</t>
  </si>
  <si>
    <t>доходи від перевезень пасажирів</t>
  </si>
  <si>
    <t>3470/3</t>
  </si>
  <si>
    <t>3470/5</t>
  </si>
  <si>
    <t>3270/28</t>
  </si>
  <si>
    <t>3270/29</t>
  </si>
  <si>
    <t>3270/30</t>
  </si>
  <si>
    <t>3270/31</t>
  </si>
  <si>
    <t>3050/1</t>
  </si>
  <si>
    <t>ЗВІТ</t>
  </si>
  <si>
    <t>ПРО ВИКОНАННЯ ФІНАНСОВОГО ПЛАНУ ПІДПРИЄМСТВА</t>
  </si>
  <si>
    <t>(І квартал, півріччя, 9 місяців, рік)</t>
  </si>
  <si>
    <t>Звітний період</t>
  </si>
  <si>
    <t xml:space="preserve">план </t>
  </si>
  <si>
    <t>факт</t>
  </si>
  <si>
    <t>відхилення,  +/–</t>
  </si>
  <si>
    <t>виконання, %</t>
  </si>
  <si>
    <t>Минулий рік (аналогічний період)</t>
  </si>
  <si>
    <t>відхи-
лення,  +/–</t>
  </si>
  <si>
    <t>Минулий рік (анало-
гічний період)</t>
  </si>
  <si>
    <t>3270/12</t>
  </si>
  <si>
    <t>в т.ч. середня заробітна плата мобілізованих</t>
  </si>
  <si>
    <t>в т.ч. нарахування на заробітну плату мобілізованих</t>
  </si>
  <si>
    <t>1085/16/1</t>
  </si>
  <si>
    <t>1085/16/2</t>
  </si>
  <si>
    <t>1085/6/1</t>
  </si>
  <si>
    <t>3260/2/1</t>
  </si>
  <si>
    <t>3260/2/2</t>
  </si>
  <si>
    <t>3260/2/3</t>
  </si>
  <si>
    <t>Виручка від реалізації ТМЦ</t>
  </si>
  <si>
    <t>3260/1</t>
  </si>
  <si>
    <t>3260/2</t>
  </si>
  <si>
    <t xml:space="preserve">Придбання комплекту устаткування для усунення наслідків аварійної ситуації </t>
  </si>
  <si>
    <t>Придбання кондиціонера</t>
  </si>
  <si>
    <t>Придбання МФУ 3шт</t>
  </si>
  <si>
    <t>Придбання балометра БП-2 2шт</t>
  </si>
  <si>
    <t>Придбання киловольтметра</t>
  </si>
  <si>
    <t>Придбання мегаметра 3шт</t>
  </si>
  <si>
    <t>3270/20</t>
  </si>
  <si>
    <t>Ліцензія на медогляд машинистів</t>
  </si>
  <si>
    <t>3290/2</t>
  </si>
  <si>
    <t xml:space="preserve">     (підпис)</t>
  </si>
  <si>
    <t>Придбання ПК</t>
  </si>
  <si>
    <t>у т.ч.: 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</si>
  <si>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м.Дніпропетровськ"), Турція</t>
  </si>
  <si>
    <t>технічне переоснащення (модернізація) , модифікація (добудова, дообладнання, реконструкція) основних засобів</t>
  </si>
  <si>
    <t>земельн.податок</t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</si>
  <si>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 xml:space="preserve"> Д</t>
    </r>
    <r>
      <rPr>
        <b/>
        <u/>
        <sz val="16"/>
        <rFont val="Times New Roman"/>
        <family val="1"/>
        <charset val="204"/>
      </rPr>
      <t>иректор</t>
    </r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</si>
  <si>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>Директор</t>
    </r>
  </si>
  <si>
    <t>3270/32</t>
  </si>
  <si>
    <t>3260/2/4</t>
  </si>
  <si>
    <t xml:space="preserve">                                                                                                                                                               (без ПДВ)</t>
  </si>
  <si>
    <t>3310/2/5</t>
  </si>
  <si>
    <t>3310/2/6</t>
  </si>
  <si>
    <t>Придбання рейкорізального станка</t>
  </si>
  <si>
    <t>Придбання молотка відбійного</t>
  </si>
  <si>
    <t>3270/14</t>
  </si>
  <si>
    <t>3270/16</t>
  </si>
  <si>
    <t>Доходи іншої діяльності</t>
  </si>
  <si>
    <t>дохід від іншої допоміжної діяльності</t>
  </si>
  <si>
    <t>1030/2/1</t>
  </si>
  <si>
    <t>1030/2/2</t>
  </si>
  <si>
    <t>суми штрафів, пені, неустойок</t>
  </si>
  <si>
    <t>відшкодування додаткових відпусток учасникам ліквідації ЧАЕС</t>
  </si>
  <si>
    <t>інші доходи від операційної діяльності</t>
  </si>
  <si>
    <t>матеріальна допомога на поховання з нарахуваннями</t>
  </si>
  <si>
    <t>у тому числі нарахування</t>
  </si>
  <si>
    <t>лікарняні за рахунок коштів фонду соцстрахування (нарахування)</t>
  </si>
  <si>
    <t>1085/17</t>
  </si>
  <si>
    <t>матеріальна допомога  в межах прожиткового мінімуму з нарахуваннями</t>
  </si>
  <si>
    <t>1085/18</t>
  </si>
  <si>
    <t>у тому числі нарахування на матеріальну допомогу</t>
  </si>
  <si>
    <t>1085/18/1</t>
  </si>
  <si>
    <t xml:space="preserve">коригування проекту "Будівництво першої черги метрополітену у м.Дніпропетровську" I-й  та III-й пускові комплекси </t>
  </si>
  <si>
    <r>
      <rPr>
        <b/>
        <sz val="14"/>
        <rFont val="Times New Roman"/>
        <family val="1"/>
        <charset val="204"/>
      </rPr>
      <t xml:space="preserve">технічне переоснащення </t>
    </r>
    <r>
      <rPr>
        <sz val="14"/>
        <rFont val="Times New Roman"/>
        <family val="1"/>
        <charset val="204"/>
      </rPr>
      <t xml:space="preserve">(модернізація) , модифікація (добудова, дообладнання, реконструкція), 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</t>
    </r>
  </si>
  <si>
    <t>Придбання скоби  для вимірів діаметрів колісних пар вагонів</t>
  </si>
  <si>
    <t>придбання  вогнегасників та засобів до них</t>
  </si>
  <si>
    <t>придбання протигазів, інших засобів захисту</t>
  </si>
  <si>
    <t xml:space="preserve">придбання спеціального одягу, спецвзуття </t>
  </si>
  <si>
    <t>упровадження системи автоматичного пожежогасіння та сигналізації у підземних спорудах метрополітену</t>
  </si>
  <si>
    <t>Технічне переоснащення системи опалення будівлі мотовозного цеху з камерами мийки, обдувки. Розробка проекту. Виконання робіт</t>
  </si>
  <si>
    <t xml:space="preserve">Технічне переоснащення ескалаторного господарства. Заміна гальм типу КМТ на сучасні економні гальма типу КЕП. </t>
  </si>
  <si>
    <t>Технічне переоснащення основної водовідливної установки ТВУ-6. Корегування проекту. Виконання робіт</t>
  </si>
  <si>
    <t xml:space="preserve">Технічне переоснащення електроприводів електромеханічних пристроїв та ескалаторів </t>
  </si>
  <si>
    <t>Технічне переоснащення повітряно-теплових завіс на станціях</t>
  </si>
  <si>
    <t>Роботи з усунення протікань  ст.Проспект Свободи, згідно проектної документації .Технічний нагляд.</t>
  </si>
  <si>
    <t>1030/10</t>
  </si>
  <si>
    <t>в т.ч. нарахування</t>
  </si>
  <si>
    <t>1085/4/1</t>
  </si>
  <si>
    <t>додаткова відпустка ЧАЕС</t>
  </si>
  <si>
    <t>1085/19</t>
  </si>
  <si>
    <t>1085/19/1</t>
  </si>
  <si>
    <t>сумнівні безнадійні борги та втрати від знецінення запасів,списання необоротних активів</t>
  </si>
  <si>
    <t>2060/2</t>
  </si>
  <si>
    <t>Повернення в ході ревізії зайво отриманих бюджетних коштів на виплату зарплати</t>
  </si>
  <si>
    <t>2060/3</t>
  </si>
  <si>
    <t>Компенсаційні податкові зобов’язання відповідно до вимог ПКУ, виявлені під час аудиту</t>
  </si>
  <si>
    <t xml:space="preserve">Придбання ПК </t>
  </si>
  <si>
    <t>коригування суми нерозподіленого прибутку непокритого збитку</t>
  </si>
  <si>
    <t>3030/6</t>
  </si>
  <si>
    <t xml:space="preserve"> безоплатно отримані необоротні активи</t>
  </si>
  <si>
    <t>3030/7</t>
  </si>
  <si>
    <t>незавершені капітальні інвестиції</t>
  </si>
  <si>
    <t>3050/2</t>
  </si>
  <si>
    <t>3050/3</t>
  </si>
  <si>
    <t>3050/4</t>
  </si>
  <si>
    <t>запаси</t>
  </si>
  <si>
    <t>дебіторська заборгованість</t>
  </si>
  <si>
    <t>витрати майбутніх періодів</t>
  </si>
  <si>
    <t>поточні зобов'язання</t>
  </si>
  <si>
    <t>доходи майбутніх періодів</t>
  </si>
  <si>
    <t>інші пототочні зобов'язання</t>
  </si>
  <si>
    <t>3060/2</t>
  </si>
  <si>
    <t>3060/3</t>
  </si>
  <si>
    <t>коригування  суми амортизації згідно з балансом</t>
  </si>
  <si>
    <r>
      <rPr>
        <b/>
        <sz val="14"/>
        <rFont val="Times New Roman"/>
        <family val="1"/>
        <charset val="204"/>
      </rPr>
      <t>улаштування</t>
    </r>
    <r>
      <rPr>
        <sz val="14"/>
        <rFont val="Times New Roman"/>
        <family val="1"/>
        <charset val="204"/>
      </rPr>
      <t xml:space="preserve">  карусельного станка  для ремонту колісних пар вагонів метро . Корегування проекту.Виконання робіт.</t>
    </r>
  </si>
  <si>
    <r>
      <rPr>
        <sz val="14"/>
        <rFont val="Times New Roman"/>
        <family val="1"/>
        <charset val="204"/>
      </rPr>
      <t>інші витрати</t>
    </r>
    <r>
      <rPr>
        <sz val="10"/>
        <rFont val="Times New Roman"/>
        <family val="1"/>
        <charset val="204"/>
      </rPr>
      <t xml:space="preserve"> ( виготовлення деталей, ремонт ел. двигунів, насосів, вузлів ескалаторів, повірка приладів, лічильників, зв’язок, ремонт та ТО ліфртів, страхування водіїв а/м,  страхування водіїв а/м, машиністів,  дез-обробка станцій та тунелю,  ДПД, перезарядка, ремонт  вогнегасників, бланки,канцтовари, навчання, відрядження, проїздні квитки, перепустки, вивіз ТВП, медикаменти, тара, обслугов. жетонорахув., підлогомийних маш.,ВГРЗ , інш.)</t>
    </r>
  </si>
  <si>
    <t>1085/5/1</t>
  </si>
  <si>
    <t>інші оборотні активи</t>
  </si>
  <si>
    <t>3310/3/13</t>
  </si>
  <si>
    <t>Роботи з проектування освітлення електродепо</t>
  </si>
  <si>
    <t>3310/2/7</t>
  </si>
  <si>
    <t>придбання електричного приладдя</t>
  </si>
  <si>
    <t>придбання побутове приладдя</t>
  </si>
  <si>
    <t>3310/2/8</t>
  </si>
  <si>
    <t>за КАТОТТГ 1</t>
  </si>
  <si>
    <t>UA12020010010639502</t>
  </si>
  <si>
    <t>ДНІПРОПЕТРОВСЬКА</t>
  </si>
  <si>
    <t>Коригування залишків заборгованості, згідно актов звірянь за попередній рік</t>
  </si>
  <si>
    <t>придбання приладів відеонагляду,телеф.обладнання</t>
  </si>
  <si>
    <t xml:space="preserve">Розробка проекту, роботи з розширення об′єкта шляхом технічного переоснащення системи пожежної сигналізації із улаштуванням автоматичної системи пожежної сигналізації і впровадженням системи оповіщення та управління евакуацією людей при пожежі на станціях метрополітену  у місті Дніпро </t>
  </si>
  <si>
    <t>без пдв (Дт15)</t>
  </si>
  <si>
    <t>фінансування на утримання ГУП</t>
  </si>
  <si>
    <t>фінансування на заходи та роботи з територіальної оборони</t>
  </si>
  <si>
    <t>1030/6/4</t>
  </si>
  <si>
    <t>1030/6/5</t>
  </si>
  <si>
    <t>1030/6/6</t>
  </si>
  <si>
    <t xml:space="preserve">інші доходи </t>
  </si>
  <si>
    <t>собівартість реалізованих товарів, робіт, послуг</t>
  </si>
  <si>
    <t>Доценко Сергій Юрійович</t>
  </si>
  <si>
    <t xml:space="preserve">факт </t>
  </si>
  <si>
    <t>Минулий (аналогічний) період</t>
  </si>
  <si>
    <t>Минулий (анало-
гічний) період</t>
  </si>
  <si>
    <t xml:space="preserve">         (ініціали, прізвище)    </t>
  </si>
  <si>
    <t>витрати  на заходи та роботи з територіальної оборони</t>
  </si>
  <si>
    <t>1019/1</t>
  </si>
  <si>
    <t>1019/2</t>
  </si>
  <si>
    <t xml:space="preserve"> фінансування  аудиту (ГУП)</t>
  </si>
  <si>
    <t>проценти банка</t>
  </si>
  <si>
    <t>1030/11</t>
  </si>
  <si>
    <t>коригування резерву сумнівних боргів</t>
  </si>
  <si>
    <t>відшкодування раніше списаних активів</t>
  </si>
  <si>
    <t>1030/12</t>
  </si>
  <si>
    <t>вибуття (списання) необоротних активів</t>
  </si>
  <si>
    <t>3260/2/5</t>
  </si>
  <si>
    <r>
      <rPr>
        <b/>
        <sz val="14"/>
        <rFont val="Times New Roman"/>
        <family val="1"/>
        <charset val="204"/>
      </rPr>
      <t>заходи та роботи з територіальної оборони</t>
    </r>
    <r>
      <rPr>
        <sz val="14"/>
        <rFont val="Times New Roman"/>
        <family val="1"/>
        <charset val="204"/>
      </rPr>
      <t xml:space="preserve"> (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засобів)</t>
    </r>
  </si>
  <si>
    <t>збільшення необоротних  активів</t>
  </si>
  <si>
    <t>перенесення суми дооцінки інвестиц.нерух. до нерозподіл.прибутку МСБО40</t>
  </si>
  <si>
    <t>2060/4</t>
  </si>
  <si>
    <t>Звітний період 9міс. 2022</t>
  </si>
  <si>
    <t>забеспечення з пенсій  Списки1,2</t>
  </si>
  <si>
    <t>Звітний період 9 міс 2022</t>
  </si>
  <si>
    <t>Звітний період 9міс 2022</t>
  </si>
  <si>
    <t>9 місяців 2022</t>
  </si>
  <si>
    <t>Виготовлення інших основниїх засобів</t>
  </si>
  <si>
    <t>інші МНМА, в т.ч. Виготовлення</t>
  </si>
  <si>
    <t>придбання насосної станції</t>
  </si>
  <si>
    <t>1030/6/7</t>
  </si>
  <si>
    <t>Роботи з проектування техн переосн системи опалення буд мотовозн цеху</t>
  </si>
  <si>
    <t>Рік 2022</t>
  </si>
  <si>
    <t xml:space="preserve">Сергій ДОЦЕНКО </t>
  </si>
  <si>
    <t>м.Дніпро</t>
  </si>
  <si>
    <t xml:space="preserve">Середньооблікова кількість штатних працівників: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</si>
</sst>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&quot;грн.&quot;_-;\-* #,##0.00\ &quot;грн.&quot;_-;_-* &quot;-&quot;??\ &quot;грн.&quot;_-;_-@_-"/>
    <numFmt numFmtId="169" formatCode="_-* #,##0.00\ _г_р_н_._-;\-* #,##0.00\ _г_р_н_._-;_-* &quot;-&quot;??\ _г_р_н_._-;_-@_-"/>
    <numFmt numFmtId="170" formatCode="0.0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  <numFmt numFmtId="178" formatCode="#,##0.000"/>
    <numFmt numFmtId="179" formatCode="0;\(0\);\ ;\-"/>
  </numFmts>
  <fonts count="8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rgb="FF000000"/>
      <name val="Times New Roman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68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1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3" borderId="0" applyNumberFormat="0" applyBorder="0" applyAlignment="0" applyProtection="0"/>
    <xf numFmtId="0" fontId="2" fillId="3" borderId="0" applyNumberFormat="0" applyBorder="0" applyAlignment="0" applyProtection="0"/>
    <xf numFmtId="0" fontId="31" fillId="4" borderId="0" applyNumberFormat="0" applyBorder="0" applyAlignment="0" applyProtection="0"/>
    <xf numFmtId="0" fontId="2" fillId="4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6" borderId="0" applyNumberFormat="0" applyBorder="0" applyAlignment="0" applyProtection="0"/>
    <xf numFmtId="0" fontId="2" fillId="6" borderId="0" applyNumberFormat="0" applyBorder="0" applyAlignment="0" applyProtection="0"/>
    <xf numFmtId="0" fontId="3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9" borderId="0" applyNumberFormat="0" applyBorder="0" applyAlignment="0" applyProtection="0"/>
    <xf numFmtId="0" fontId="2" fillId="9" borderId="0" applyNumberFormat="0" applyBorder="0" applyAlignment="0" applyProtection="0"/>
    <xf numFmtId="0" fontId="31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11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9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2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3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3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11" fillId="0" borderId="0"/>
    <xf numFmtId="0" fontId="3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64" fillId="0" borderId="0" applyFont="0" applyFill="0" applyBorder="0" applyAlignment="0" applyProtection="0"/>
    <xf numFmtId="175" fontId="6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7" fontId="66" fillId="22" borderId="12" applyFill="0" applyBorder="0">
      <alignment horizontal="center" vertical="center" wrapText="1"/>
      <protection locked="0"/>
    </xf>
    <xf numFmtId="172" fontId="67" fillId="0" borderId="0">
      <alignment wrapText="1"/>
    </xf>
    <xf numFmtId="172" fontId="34" fillId="0" borderId="0">
      <alignment wrapText="1"/>
    </xf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9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6" fillId="0" borderId="3" xfId="237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0" xfId="245" applyFont="1" applyFill="1" applyBorder="1" applyAlignment="1">
      <alignment vertical="center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245" applyFont="1" applyFill="1" applyBorder="1" applyAlignment="1">
      <alignment vertical="center"/>
    </xf>
    <xf numFmtId="0" fontId="6" fillId="0" borderId="0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3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13" fillId="0" borderId="0" xfId="245" applyFont="1" applyFill="1"/>
    <xf numFmtId="0" fontId="6" fillId="0" borderId="0" xfId="245" applyFont="1" applyFill="1" applyBorder="1" applyAlignment="1">
      <alignment vertical="center" wrapText="1"/>
    </xf>
    <xf numFmtId="0" fontId="5" fillId="0" borderId="3" xfId="237" applyFont="1" applyFill="1" applyBorder="1" applyAlignment="1">
      <alignment horizontal="left" vertical="center"/>
    </xf>
    <xf numFmtId="0" fontId="6" fillId="0" borderId="0" xfId="0" applyFont="1" applyFill="1"/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center" vertical="center" wrapText="1"/>
    </xf>
    <xf numFmtId="0" fontId="6" fillId="0" borderId="3" xfId="237" applyFont="1" applyFill="1" applyBorder="1" applyAlignment="1">
      <alignment horizontal="center" vertical="center" wrapText="1"/>
    </xf>
    <xf numFmtId="49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182" applyFont="1" applyFill="1" applyBorder="1" applyAlignment="1" applyProtection="1">
      <alignment vertical="center" wrapText="1"/>
    </xf>
    <xf numFmtId="0" fontId="5" fillId="0" borderId="3" xfId="182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0" borderId="3" xfId="245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68" fillId="0" borderId="0" xfId="0" applyFont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14" xfId="0" applyFont="1" applyFill="1" applyBorder="1" applyAlignment="1" applyProtection="1">
      <alignment vertical="center"/>
      <protection locked="0"/>
    </xf>
    <xf numFmtId="0" fontId="69" fillId="0" borderId="15" xfId="0" applyFont="1" applyFill="1" applyBorder="1" applyAlignment="1" applyProtection="1">
      <alignment vertical="center"/>
      <protection locked="0"/>
    </xf>
    <xf numFmtId="0" fontId="69" fillId="0" borderId="16" xfId="0" applyFont="1" applyFill="1" applyBorder="1" applyAlignment="1" applyProtection="1">
      <alignment vertical="center"/>
      <protection locked="0"/>
    </xf>
    <xf numFmtId="0" fontId="69" fillId="0" borderId="3" xfId="0" applyFont="1" applyFill="1" applyBorder="1" applyAlignment="1" applyProtection="1">
      <alignment horizontal="center" vertical="center"/>
      <protection locked="0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vertical="center" wrapText="1"/>
      <protection locked="0"/>
    </xf>
    <xf numFmtId="0" fontId="69" fillId="0" borderId="16" xfId="0" applyFont="1" applyFill="1" applyBorder="1" applyAlignment="1" applyProtection="1">
      <alignment vertical="center" wrapText="1"/>
      <protection locked="0"/>
    </xf>
    <xf numFmtId="0" fontId="69" fillId="0" borderId="3" xfId="0" applyFont="1" applyFill="1" applyBorder="1" applyAlignment="1" applyProtection="1">
      <alignment vertical="center" wrapText="1"/>
      <protection locked="0"/>
    </xf>
    <xf numFmtId="171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Fill="1" applyBorder="1" applyAlignment="1" applyProtection="1">
      <alignment horizontal="center" vertical="center"/>
      <protection locked="0"/>
    </xf>
    <xf numFmtId="171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5" fillId="0" borderId="0" xfId="0" quotePrefix="1" applyFont="1" applyFill="1" applyBorder="1" applyAlignment="1" applyProtection="1">
      <alignment horizontal="center"/>
      <protection locked="0"/>
    </xf>
    <xf numFmtId="171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245" applyFont="1" applyFill="1" applyBorder="1" applyAlignment="1" applyProtection="1">
      <alignment horizontal="left" vertical="center" wrapText="1"/>
      <protection locked="0"/>
    </xf>
    <xf numFmtId="0" fontId="6" fillId="0" borderId="0" xfId="245" applyFont="1" applyFill="1" applyBorder="1" applyAlignment="1" applyProtection="1">
      <alignment horizontal="center" vertical="center"/>
      <protection locked="0"/>
    </xf>
    <xf numFmtId="171" fontId="6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17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Protection="1">
      <protection locked="0"/>
    </xf>
    <xf numFmtId="0" fontId="6" fillId="0" borderId="3" xfId="245" applyFont="1" applyFill="1" applyBorder="1" applyAlignment="1" applyProtection="1">
      <alignment horizontal="left" vertical="center" wrapText="1"/>
      <protection locked="0"/>
    </xf>
    <xf numFmtId="0" fontId="6" fillId="0" borderId="3" xfId="245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vertical="center"/>
      <protection locked="0"/>
    </xf>
    <xf numFmtId="1" fontId="6" fillId="0" borderId="0" xfId="0" applyNumberFormat="1" applyFont="1" applyFill="1" applyAlignment="1">
      <alignment vertical="center"/>
    </xf>
    <xf numFmtId="1" fontId="6" fillId="0" borderId="0" xfId="245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4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1" fontId="6" fillId="29" borderId="3" xfId="0" applyNumberFormat="1" applyFont="1" applyFill="1" applyBorder="1" applyAlignment="1" applyProtection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1" fontId="80" fillId="0" borderId="3" xfId="237" applyNumberFormat="1" applyFont="1" applyFill="1" applyBorder="1" applyAlignment="1">
      <alignment horizontal="center" vertical="center" wrapText="1"/>
    </xf>
    <xf numFmtId="171" fontId="80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75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81" fillId="0" borderId="3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wrapText="1"/>
    </xf>
    <xf numFmtId="49" fontId="75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 shrinkToFi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" fontId="6" fillId="29" borderId="3" xfId="237" applyNumberFormat="1" applyFont="1" applyFill="1" applyBorder="1" applyAlignment="1">
      <alignment horizontal="center" vertical="center" wrapText="1"/>
    </xf>
    <xf numFmtId="178" fontId="6" fillId="29" borderId="3" xfId="237" applyNumberFormat="1" applyFont="1" applyFill="1" applyBorder="1" applyAlignment="1">
      <alignment horizontal="center" vertical="center" wrapText="1"/>
    </xf>
    <xf numFmtId="178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49" fontId="82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29" borderId="0" xfId="0" applyFont="1" applyFill="1" applyAlignment="1">
      <alignment vertical="center"/>
    </xf>
    <xf numFmtId="2" fontId="6" fillId="29" borderId="3" xfId="0" applyNumberFormat="1" applyFont="1" applyFill="1" applyBorder="1" applyAlignment="1" applyProtection="1">
      <alignment horizontal="center" vertical="center" wrapText="1"/>
    </xf>
    <xf numFmtId="17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70" fillId="0" borderId="0" xfId="0" applyFont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center" wrapText="1"/>
      <protection locked="0"/>
    </xf>
    <xf numFmtId="0" fontId="73" fillId="0" borderId="21" xfId="0" applyFont="1" applyBorder="1" applyAlignment="1">
      <alignment horizontal="center" vertical="center" wrapText="1"/>
    </xf>
    <xf numFmtId="0" fontId="73" fillId="0" borderId="20" xfId="0" applyFont="1" applyBorder="1" applyAlignment="1">
      <alignment horizontal="center" vertical="center"/>
    </xf>
    <xf numFmtId="0" fontId="73" fillId="0" borderId="20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171" fontId="6" fillId="0" borderId="20" xfId="0" applyNumberFormat="1" applyFont="1" applyBorder="1" applyAlignment="1">
      <alignment horizontal="center" vertical="center" wrapText="1"/>
    </xf>
    <xf numFmtId="3" fontId="6" fillId="0" borderId="20" xfId="0" applyNumberFormat="1" applyFont="1" applyFill="1" applyBorder="1" applyAlignment="1">
      <alignment horizontal="center" vertical="center" wrapText="1"/>
    </xf>
    <xf numFmtId="171" fontId="6" fillId="0" borderId="20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80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179" fontId="6" fillId="0" borderId="3" xfId="350" applyNumberFormat="1" applyFont="1" applyFill="1" applyBorder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49" fontId="6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0" xfId="0" applyNumberFormat="1" applyFont="1" applyFill="1" applyBorder="1" applyAlignment="1">
      <alignment horizontal="center" vertical="center" wrapText="1"/>
    </xf>
    <xf numFmtId="171" fontId="5" fillId="0" borderId="0" xfId="0" quotePrefix="1" applyNumberFormat="1" applyFont="1" applyFill="1" applyBorder="1" applyAlignment="1" applyProtection="1">
      <alignment horizontal="center"/>
      <protection locked="0"/>
    </xf>
    <xf numFmtId="171" fontId="6" fillId="0" borderId="0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" fontId="78" fillId="0" borderId="0" xfId="0" applyNumberFormat="1" applyFont="1" applyFill="1" applyBorder="1" applyAlignment="1">
      <alignment horizontal="center" vertical="center" wrapText="1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171" fontId="6" fillId="0" borderId="0" xfId="245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1" fontId="8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16" xfId="0" applyFont="1" applyFill="1" applyBorder="1" applyAlignment="1">
      <alignment vertical="center" wrapText="1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1" fontId="6" fillId="0" borderId="21" xfId="0" applyNumberFormat="1" applyFont="1" applyBorder="1" applyAlignment="1">
      <alignment horizontal="center" vertical="center" wrapText="1"/>
    </xf>
    <xf numFmtId="1" fontId="5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5" fillId="29" borderId="3" xfId="0" quotePrefix="1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6" fillId="29" borderId="3" xfId="0" applyNumberFormat="1" applyFont="1" applyFill="1" applyBorder="1" applyAlignment="1">
      <alignment horizontal="center" vertical="center"/>
    </xf>
    <xf numFmtId="1" fontId="6" fillId="0" borderId="20" xfId="0" applyNumberFormat="1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0" borderId="3" xfId="0" quotePrefix="1" applyNumberFormat="1" applyFont="1" applyFill="1" applyBorder="1" applyAlignment="1">
      <alignment horizontal="center" vertical="center"/>
    </xf>
    <xf numFmtId="1" fontId="79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79" fillId="29" borderId="3" xfId="0" quotePrefix="1" applyNumberFormat="1" applyFont="1" applyFill="1" applyBorder="1" applyAlignment="1">
      <alignment horizontal="center" vertical="center"/>
    </xf>
    <xf numFmtId="1" fontId="6" fillId="29" borderId="3" xfId="0" quotePrefix="1" applyNumberFormat="1" applyFont="1" applyFill="1" applyBorder="1" applyAlignment="1">
      <alignment horizontal="center" vertical="center"/>
    </xf>
    <xf numFmtId="1" fontId="5" fillId="0" borderId="3" xfId="0" quotePrefix="1" applyNumberFormat="1" applyFont="1" applyFill="1" applyBorder="1" applyAlignment="1">
      <alignment horizontal="center" vertical="center"/>
    </xf>
    <xf numFmtId="1" fontId="5" fillId="29" borderId="3" xfId="0" applyNumberFormat="1" applyFont="1" applyFill="1" applyBorder="1" applyAlignment="1" applyProtection="1">
      <alignment horizontal="left" vertical="center" wrapText="1" shrinkToFit="1"/>
      <protection locked="0"/>
    </xf>
    <xf numFmtId="1" fontId="6" fillId="0" borderId="3" xfId="0" quotePrefix="1" applyNumberFormat="1" applyFont="1" applyFill="1" applyBorder="1" applyAlignment="1" applyProtection="1">
      <alignment horizontal="center" vertical="center"/>
      <protection locked="0"/>
    </xf>
    <xf numFmtId="1" fontId="6" fillId="29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2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1" fontId="5" fillId="0" borderId="16" xfId="0" applyNumberFormat="1" applyFont="1" applyFill="1" applyBorder="1" applyAlignment="1">
      <alignment vertical="center" wrapText="1"/>
    </xf>
    <xf numFmtId="1" fontId="6" fillId="0" borderId="3" xfId="182" applyNumberFormat="1" applyFont="1" applyFill="1" applyBorder="1" applyAlignment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1" fontId="5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wrapText="1"/>
      <protection locked="0"/>
    </xf>
    <xf numFmtId="49" fontId="6" fillId="0" borderId="1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/>
    </xf>
    <xf numFmtId="0" fontId="82" fillId="0" borderId="3" xfId="0" applyFont="1" applyFill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71" fontId="6" fillId="0" borderId="24" xfId="0" applyNumberFormat="1" applyFont="1" applyFill="1" applyBorder="1" applyAlignment="1" applyProtection="1">
      <alignment horizontal="left" vertical="center" wrapText="1"/>
      <protection locked="0"/>
    </xf>
    <xf numFmtId="1" fontId="5" fillId="0" borderId="0" xfId="0" applyNumberFormat="1" applyFont="1" applyFill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7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29" borderId="3" xfId="0" applyFont="1" applyFill="1" applyBorder="1" applyAlignment="1">
      <alignment horizontal="left" vertical="center" wrapText="1"/>
    </xf>
    <xf numFmtId="0" fontId="8" fillId="29" borderId="3" xfId="0" applyFont="1" applyFill="1" applyBorder="1" applyAlignment="1">
      <alignment horizontal="left" vertical="center" wrapText="1"/>
    </xf>
    <xf numFmtId="0" fontId="75" fillId="29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top" wrapText="1"/>
      <protection locked="0"/>
    </xf>
    <xf numFmtId="1" fontId="5" fillId="30" borderId="3" xfId="0" applyNumberFormat="1" applyFont="1" applyFill="1" applyBorder="1" applyAlignment="1">
      <alignment horizontal="center" vertical="center" wrapText="1"/>
    </xf>
    <xf numFmtId="1" fontId="5" fillId="30" borderId="20" xfId="0" applyNumberFormat="1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30" borderId="20" xfId="0" applyNumberFormat="1" applyFont="1" applyFill="1" applyBorder="1" applyAlignment="1">
      <alignment horizontal="center" vertical="center" wrapText="1"/>
    </xf>
    <xf numFmtId="1" fontId="6" fillId="30" borderId="3" xfId="0" applyNumberFormat="1" applyFont="1" applyFill="1" applyBorder="1" applyAlignment="1" applyProtection="1">
      <alignment horizontal="left" vertical="center" wrapText="1"/>
      <protection locked="0"/>
    </xf>
    <xf numFmtId="3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29" borderId="3" xfId="0" applyFont="1" applyFill="1" applyBorder="1" applyAlignment="1" applyProtection="1">
      <alignment horizontal="left" vertical="center" wrapText="1"/>
      <protection locked="0"/>
    </xf>
    <xf numFmtId="0" fontId="6" fillId="29" borderId="3" xfId="0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29" borderId="3" xfId="0" applyFont="1" applyFill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6" fillId="29" borderId="14" xfId="0" applyNumberFormat="1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1" fontId="85" fillId="0" borderId="3" xfId="0" applyNumberFormat="1" applyFont="1" applyFill="1" applyBorder="1" applyAlignment="1">
      <alignment horizontal="center" vertical="top" shrinkToFit="1"/>
    </xf>
    <xf numFmtId="0" fontId="6" fillId="0" borderId="3" xfId="245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center" vertical="center" wrapText="1"/>
    </xf>
    <xf numFmtId="1" fontId="5" fillId="30" borderId="27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Border="1" applyAlignment="1">
      <alignment horizontal="center" vertical="center" wrapText="1"/>
    </xf>
    <xf numFmtId="1" fontId="6" fillId="30" borderId="27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3" fillId="0" borderId="20" xfId="0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9" fillId="0" borderId="19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Fill="1" applyAlignment="1">
      <alignment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4" xfId="0" applyNumberFormat="1" applyFont="1" applyFill="1" applyBorder="1" applyAlignment="1">
      <alignment horizontal="center" vertical="center" wrapText="1"/>
    </xf>
    <xf numFmtId="0" fontId="68" fillId="0" borderId="0" xfId="0" applyFont="1" applyFill="1" applyAlignment="1" applyProtection="1">
      <alignment vertical="top" wrapText="1"/>
      <protection locked="0"/>
    </xf>
    <xf numFmtId="0" fontId="70" fillId="0" borderId="0" xfId="0" applyFont="1" applyFill="1" applyAlignment="1" applyProtection="1">
      <alignment vertical="top" wrapText="1"/>
      <protection locked="0"/>
    </xf>
    <xf numFmtId="0" fontId="73" fillId="0" borderId="20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 applyProtection="1">
      <alignment horizontal="center" vertical="center" wrapText="1"/>
    </xf>
    <xf numFmtId="3" fontId="6" fillId="29" borderId="3" xfId="353" applyNumberFormat="1" applyFont="1" applyFill="1" applyBorder="1" applyAlignment="1" applyProtection="1">
      <alignment horizontal="center" vertical="center" wrapText="1"/>
      <protection locked="0"/>
    </xf>
    <xf numFmtId="3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237" applyNumberFormat="1" applyFont="1" applyFill="1" applyBorder="1" applyAlignment="1">
      <alignment horizontal="center" vertical="center" wrapText="1"/>
    </xf>
    <xf numFmtId="178" fontId="6" fillId="0" borderId="3" xfId="237" applyNumberFormat="1" applyFont="1" applyFill="1" applyBorder="1" applyAlignment="1">
      <alignment horizontal="center" vertical="center" wrapText="1"/>
    </xf>
    <xf numFmtId="171" fontId="6" fillId="0" borderId="3" xfId="237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2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 applyAlignment="1">
      <alignment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79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3" fontId="5" fillId="29" borderId="3" xfId="0" applyNumberFormat="1" applyFont="1" applyFill="1" applyBorder="1" applyAlignment="1" applyProtection="1">
      <alignment horizontal="center" vertical="center" wrapText="1"/>
    </xf>
    <xf numFmtId="3" fontId="5" fillId="0" borderId="20" xfId="0" applyNumberFormat="1" applyFont="1" applyBorder="1" applyAlignment="1">
      <alignment horizontal="center" vertical="center" wrapText="1"/>
    </xf>
    <xf numFmtId="1" fontId="6" fillId="30" borderId="3" xfId="0" applyNumberFormat="1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3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30" borderId="14" xfId="0" applyNumberFormat="1" applyFont="1" applyFill="1" applyBorder="1" applyAlignment="1">
      <alignment horizontal="center" vertical="center" wrapText="1"/>
    </xf>
    <xf numFmtId="1" fontId="5" fillId="30" borderId="14" xfId="0" applyNumberFormat="1" applyFont="1" applyFill="1" applyBorder="1" applyAlignment="1" applyProtection="1">
      <alignment horizontal="center" vertical="center" wrapText="1"/>
      <protection locked="0"/>
    </xf>
    <xf numFmtId="1" fontId="6" fillId="30" borderId="14" xfId="0" applyNumberFormat="1" applyFont="1" applyFill="1" applyBorder="1" applyAlignment="1">
      <alignment horizontal="center" vertical="center" wrapText="1"/>
    </xf>
    <xf numFmtId="1" fontId="6" fillId="30" borderId="22" xfId="0" applyNumberFormat="1" applyFont="1" applyFill="1" applyBorder="1" applyAlignment="1">
      <alignment horizontal="center" vertical="center" wrapText="1"/>
    </xf>
    <xf numFmtId="1" fontId="5" fillId="30" borderId="22" xfId="0" applyNumberFormat="1" applyFont="1" applyFill="1" applyBorder="1" applyAlignment="1">
      <alignment horizontal="center" vertical="center"/>
    </xf>
    <xf numFmtId="1" fontId="5" fillId="30" borderId="3" xfId="0" applyNumberFormat="1" applyFont="1" applyFill="1" applyBorder="1" applyAlignment="1">
      <alignment horizontal="center"/>
    </xf>
    <xf numFmtId="1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77" fontId="66" fillId="0" borderId="3" xfId="350" applyFill="1" applyBorder="1">
      <alignment horizontal="center" vertical="center" wrapText="1"/>
      <protection locked="0"/>
    </xf>
    <xf numFmtId="1" fontId="6" fillId="0" borderId="3" xfId="0" applyNumberFormat="1" applyFont="1" applyFill="1" applyBorder="1" applyAlignment="1">
      <alignment horizontal="center" vertical="center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72" fillId="0" borderId="15" xfId="0" applyFont="1" applyBorder="1" applyAlignment="1" applyProtection="1">
      <alignment horizontal="left" vertical="center" wrapText="1"/>
      <protection locked="0"/>
    </xf>
    <xf numFmtId="0" fontId="72" fillId="0" borderId="16" xfId="0" applyFont="1" applyBorder="1" applyAlignment="1" applyProtection="1">
      <alignment horizontal="left" vertical="center" wrapText="1"/>
      <protection locked="0"/>
    </xf>
    <xf numFmtId="0" fontId="75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237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73" fillId="0" borderId="20" xfId="0" applyFont="1" applyBorder="1" applyAlignment="1">
      <alignment horizontal="center" vertical="center"/>
    </xf>
    <xf numFmtId="0" fontId="83" fillId="0" borderId="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168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 wrapText="1"/>
    </xf>
    <xf numFmtId="0" fontId="5" fillId="0" borderId="25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5" fillId="0" borderId="26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5" fillId="0" borderId="16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7" xfId="245" applyFont="1" applyFill="1" applyBorder="1" applyAlignment="1">
      <alignment horizontal="center" vertical="center" wrapText="1"/>
    </xf>
    <xf numFmtId="0" fontId="6" fillId="0" borderId="18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13" xfId="0" applyFont="1" applyFill="1" applyBorder="1" applyAlignment="1">
      <alignment horizontal="left" vertical="center"/>
    </xf>
    <xf numFmtId="0" fontId="5" fillId="0" borderId="0" xfId="237" applyNumberFormat="1" applyFont="1" applyFill="1" applyBorder="1" applyAlignment="1">
      <alignment horizontal="center" vertical="center" wrapText="1"/>
    </xf>
    <xf numFmtId="0" fontId="6" fillId="0" borderId="17" xfId="237" applyNumberFormat="1" applyFont="1" applyFill="1" applyBorder="1" applyAlignment="1">
      <alignment horizontal="center" vertical="center" wrapText="1"/>
    </xf>
    <xf numFmtId="0" fontId="6" fillId="0" borderId="18" xfId="237" applyNumberFormat="1" applyFont="1" applyFill="1" applyBorder="1" applyAlignment="1">
      <alignment horizontal="center" vertical="center" wrapText="1"/>
    </xf>
  </cellXfs>
  <cellStyles count="368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 3 2" xfId="354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0 2" xfId="355"/>
    <cellStyle name="Обычный 3 11" xfId="259"/>
    <cellStyle name="Обычный 3 11 2" xfId="356"/>
    <cellStyle name="Обычный 3 12" xfId="260"/>
    <cellStyle name="Обычный 3 12 2" xfId="357"/>
    <cellStyle name="Обычный 3 13" xfId="261"/>
    <cellStyle name="Обычный 3 13 2" xfId="358"/>
    <cellStyle name="Обычный 3 14" xfId="262"/>
    <cellStyle name="Обычный 3 2" xfId="263"/>
    <cellStyle name="Обычный 3 2 2" xfId="359"/>
    <cellStyle name="Обычный 3 3" xfId="264"/>
    <cellStyle name="Обычный 3 3 2" xfId="360"/>
    <cellStyle name="Обычный 3 4" xfId="265"/>
    <cellStyle name="Обычный 3 4 2" xfId="361"/>
    <cellStyle name="Обычный 3 5" xfId="266"/>
    <cellStyle name="Обычный 3 5 2" xfId="362"/>
    <cellStyle name="Обычный 3 6" xfId="267"/>
    <cellStyle name="Обычный 3 6 2" xfId="363"/>
    <cellStyle name="Обычный 3 7" xfId="268"/>
    <cellStyle name="Обычный 3 7 2" xfId="364"/>
    <cellStyle name="Обычный 3 8" xfId="269"/>
    <cellStyle name="Обычный 3 8 2" xfId="365"/>
    <cellStyle name="Обычный 3 9" xfId="270"/>
    <cellStyle name="Обычный 3 9 2" xfId="366"/>
    <cellStyle name="Обычный 3_Дефицит_7 млрд_0608_бс" xfId="271"/>
    <cellStyle name="Обычный 4" xfId="272"/>
    <cellStyle name="Обычный 4 2" xfId="367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" xfId="353" builtinId="3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  <color rgb="FFFFCCFF"/>
      <color rgb="FFCCFFCC"/>
      <color rgb="FFCCCCFF"/>
      <color rgb="FF3399FF"/>
      <color rgb="FFCCFFFF"/>
      <color rgb="FFFF99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sliva/Desktop/&#1044;&#1054;&#1050;&#1059;&#1052;&#1045;&#1053;&#1058;&#1067;%20&#1056;&#1040;&#1041;&#1054;&#1063;&#1048;&#1049;%20&#1057;&#1058;&#1054;&#1051;/&#1054;&#1058;&#1063;&#1045;&#1058;&#1067;%20&#1054;%20&#1042;&#1067;&#1055;&#1054;&#1051;&#1053;&#1045;&#1053;&#1048;&#1048;%20&#1060;&#1048;&#1053;&#1055;&#1051;&#1040;&#1053;&#1040;/2021/9%20&#1084;&#1110;&#1089;.2021/&#1084;&#1077;&#1090;&#1088;&#1086;%20&#1074;&#1080;&#1082;&#1086;&#1085;&#1072;&#1085;&#1085;&#1103;%20&#1092;&#1110;&#1085;.&#1087;&#1083;&#1072;&#1085;&#1072;%209&#1084;&#1110;&#1089;%20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Лист8"/>
      <sheetName val="IV. Кап. інвестиції"/>
      <sheetName val=" V. Коефіцієнти"/>
      <sheetName val="6.1. Інша інфо_1"/>
      <sheetName val="6.2. Інша інфо_2"/>
    </sheetNames>
    <sheetDataSet>
      <sheetData sheetId="0" refreshError="1"/>
      <sheetData sheetId="1" refreshError="1"/>
      <sheetData sheetId="2" refreshError="1"/>
      <sheetData sheetId="3">
        <row r="145">
          <cell r="C145">
            <v>18694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43"/>
  </sheetPr>
  <dimension ref="A1:K248"/>
  <sheetViews>
    <sheetView tabSelected="1" zoomScale="80" zoomScaleNormal="80" zoomScaleSheetLayoutView="90" workbookViewId="0">
      <selection activeCell="A16" sqref="A16"/>
    </sheetView>
  </sheetViews>
  <sheetFormatPr defaultRowHeight="18.75"/>
  <cols>
    <col min="1" max="1" width="62" style="2" customWidth="1"/>
    <col min="2" max="2" width="16.85546875" style="12" customWidth="1"/>
    <col min="3" max="3" width="16.85546875" style="256" customWidth="1"/>
    <col min="4" max="4" width="15.28515625" style="2" customWidth="1"/>
    <col min="5" max="5" width="14.5703125" style="242" customWidth="1"/>
    <col min="6" max="6" width="19.28515625" style="2" customWidth="1"/>
    <col min="7" max="7" width="25.140625" style="2" customWidth="1"/>
    <col min="8" max="8" width="10" style="2" customWidth="1"/>
    <col min="9" max="9" width="9.5703125" style="2" customWidth="1"/>
    <col min="10" max="11" width="9.140625" style="2"/>
    <col min="12" max="12" width="10.5703125" style="2" customWidth="1"/>
    <col min="13" max="16384" width="9.140625" style="2"/>
  </cols>
  <sheetData>
    <row r="1" spans="1:7">
      <c r="A1" s="50"/>
      <c r="B1" s="130"/>
      <c r="C1" s="216"/>
      <c r="D1" s="50"/>
      <c r="E1" s="50"/>
      <c r="F1" s="50"/>
      <c r="G1" s="50"/>
    </row>
    <row r="2" spans="1:7" ht="18.75" customHeight="1">
      <c r="A2" s="51"/>
      <c r="B2" s="51"/>
      <c r="C2" s="296"/>
      <c r="D2" s="132"/>
      <c r="E2" s="356"/>
      <c r="F2" s="356"/>
      <c r="G2" s="356"/>
    </row>
    <row r="3" spans="1:7" ht="18.75" customHeight="1">
      <c r="A3" s="51"/>
      <c r="B3" s="133"/>
      <c r="C3" s="297"/>
      <c r="D3" s="132"/>
      <c r="E3" s="356"/>
      <c r="F3" s="356"/>
      <c r="G3" s="356"/>
    </row>
    <row r="4" spans="1:7" ht="18.75" customHeight="1">
      <c r="A4" s="133"/>
      <c r="B4" s="133"/>
      <c r="C4" s="297"/>
      <c r="D4" s="132"/>
      <c r="E4" s="356"/>
      <c r="F4" s="356"/>
      <c r="G4" s="356"/>
    </row>
    <row r="5" spans="1:7" ht="24" customHeight="1">
      <c r="A5" s="133"/>
      <c r="B5" s="133"/>
      <c r="C5" s="297"/>
      <c r="D5" s="134"/>
      <c r="E5" s="357"/>
      <c r="F5" s="357"/>
      <c r="G5" s="357"/>
    </row>
    <row r="6" spans="1:7" ht="19.5" customHeight="1">
      <c r="A6" s="53"/>
      <c r="B6" s="129"/>
      <c r="C6" s="289"/>
      <c r="D6" s="54"/>
      <c r="E6" s="55"/>
      <c r="F6" s="97" t="s">
        <v>619</v>
      </c>
      <c r="G6" s="56" t="s">
        <v>197</v>
      </c>
    </row>
    <row r="7" spans="1:7" ht="21" customHeight="1">
      <c r="A7" s="57" t="s">
        <v>14</v>
      </c>
      <c r="B7" s="352" t="s">
        <v>378</v>
      </c>
      <c r="C7" s="352"/>
      <c r="D7" s="352"/>
      <c r="E7" s="271"/>
      <c r="F7" s="87" t="s">
        <v>109</v>
      </c>
      <c r="G7" s="83">
        <v>21927215</v>
      </c>
    </row>
    <row r="8" spans="1:7" ht="21" customHeight="1">
      <c r="A8" s="57" t="s">
        <v>15</v>
      </c>
      <c r="B8" s="352" t="s">
        <v>350</v>
      </c>
      <c r="C8" s="352"/>
      <c r="D8" s="352"/>
      <c r="E8" s="271"/>
      <c r="F8" s="87" t="s">
        <v>108</v>
      </c>
      <c r="G8" s="83">
        <v>150</v>
      </c>
    </row>
    <row r="9" spans="1:7" ht="18.75" customHeight="1">
      <c r="A9" s="57" t="s">
        <v>19</v>
      </c>
      <c r="B9" s="352" t="s">
        <v>577</v>
      </c>
      <c r="C9" s="352"/>
      <c r="D9" s="352"/>
      <c r="E9" s="271"/>
      <c r="F9" s="87" t="s">
        <v>575</v>
      </c>
      <c r="G9" s="261" t="s">
        <v>576</v>
      </c>
    </row>
    <row r="10" spans="1:7" ht="38.25" customHeight="1">
      <c r="A10" s="57" t="s">
        <v>254</v>
      </c>
      <c r="B10" s="352" t="s">
        <v>358</v>
      </c>
      <c r="C10" s="352"/>
      <c r="D10" s="352"/>
      <c r="E10" s="271"/>
      <c r="F10" s="87" t="s">
        <v>9</v>
      </c>
      <c r="G10" s="83">
        <v>1009</v>
      </c>
    </row>
    <row r="11" spans="1:7" ht="54" customHeight="1">
      <c r="A11" s="57" t="s">
        <v>17</v>
      </c>
      <c r="B11" s="352" t="s">
        <v>379</v>
      </c>
      <c r="C11" s="352"/>
      <c r="D11" s="352"/>
      <c r="E11" s="271"/>
      <c r="F11" s="87" t="s">
        <v>8</v>
      </c>
      <c r="G11" s="83">
        <v>51113</v>
      </c>
    </row>
    <row r="12" spans="1:7" ht="51.75" customHeight="1">
      <c r="A12" s="57" t="s">
        <v>16</v>
      </c>
      <c r="B12" s="352" t="s">
        <v>269</v>
      </c>
      <c r="C12" s="352"/>
      <c r="D12" s="352"/>
      <c r="E12" s="275"/>
      <c r="F12" s="88" t="s">
        <v>10</v>
      </c>
      <c r="G12" s="83" t="s">
        <v>351</v>
      </c>
    </row>
    <row r="13" spans="1:7" ht="20.25" customHeight="1">
      <c r="A13" s="351" t="s">
        <v>255</v>
      </c>
      <c r="B13" s="352"/>
      <c r="C13" s="289"/>
      <c r="D13" s="352" t="s">
        <v>164</v>
      </c>
      <c r="E13" s="353"/>
      <c r="F13" s="354"/>
      <c r="G13" s="9"/>
    </row>
    <row r="14" spans="1:7" ht="18.75" customHeight="1">
      <c r="A14" s="57" t="s">
        <v>20</v>
      </c>
      <c r="B14" s="355" t="s">
        <v>352</v>
      </c>
      <c r="C14" s="355"/>
      <c r="D14" s="352" t="s">
        <v>165</v>
      </c>
      <c r="E14" s="353"/>
      <c r="F14" s="354"/>
      <c r="G14" s="60" t="s">
        <v>366</v>
      </c>
    </row>
    <row r="15" spans="1:7" ht="18.75" customHeight="1">
      <c r="A15" s="351" t="s">
        <v>622</v>
      </c>
      <c r="B15" s="352"/>
      <c r="C15" s="289"/>
      <c r="D15" s="58"/>
      <c r="E15" s="58"/>
      <c r="F15" s="58"/>
      <c r="G15" s="59"/>
    </row>
    <row r="16" spans="1:7" ht="18.75" customHeight="1">
      <c r="A16" s="57" t="s">
        <v>11</v>
      </c>
      <c r="B16" s="352" t="s">
        <v>621</v>
      </c>
      <c r="C16" s="352"/>
      <c r="D16" s="352"/>
      <c r="E16" s="352"/>
      <c r="F16" s="352"/>
      <c r="G16" s="358"/>
    </row>
    <row r="17" spans="1:7" ht="18" customHeight="1">
      <c r="A17" s="57" t="s">
        <v>12</v>
      </c>
      <c r="B17" s="129"/>
      <c r="C17" s="289"/>
      <c r="D17" s="58"/>
      <c r="E17" s="58"/>
      <c r="F17" s="58"/>
      <c r="G17" s="59"/>
    </row>
    <row r="18" spans="1:7" ht="45" customHeight="1">
      <c r="A18" s="57" t="s">
        <v>13</v>
      </c>
      <c r="B18" s="352" t="s">
        <v>589</v>
      </c>
      <c r="C18" s="352"/>
      <c r="D18" s="352"/>
      <c r="E18" s="352"/>
      <c r="F18" s="352"/>
      <c r="G18" s="358"/>
    </row>
    <row r="19" spans="1:7" ht="20.100000000000001" customHeight="1">
      <c r="B19" s="2"/>
      <c r="C19" s="242"/>
    </row>
    <row r="20" spans="1:7" ht="19.5" customHeight="1">
      <c r="A20" s="365" t="s">
        <v>459</v>
      </c>
      <c r="B20" s="365"/>
      <c r="C20" s="365"/>
      <c r="D20" s="365"/>
      <c r="E20" s="365"/>
      <c r="F20" s="365"/>
      <c r="G20" s="365"/>
    </row>
    <row r="21" spans="1:7" s="131" customFormat="1" ht="19.5" customHeight="1">
      <c r="A21" s="365" t="s">
        <v>460</v>
      </c>
      <c r="B21" s="365"/>
      <c r="C21" s="365"/>
      <c r="D21" s="365"/>
      <c r="E21" s="365"/>
      <c r="F21" s="365"/>
      <c r="G21" s="365"/>
    </row>
    <row r="22" spans="1:7" ht="22.5">
      <c r="A22" s="366" t="s">
        <v>613</v>
      </c>
      <c r="B22" s="366"/>
      <c r="C22" s="366"/>
      <c r="D22" s="366"/>
      <c r="E22" s="366"/>
      <c r="F22" s="366"/>
      <c r="G22" s="366"/>
    </row>
    <row r="23" spans="1:7" ht="24.75" customHeight="1">
      <c r="A23" s="367" t="s">
        <v>461</v>
      </c>
      <c r="B23" s="367"/>
      <c r="C23" s="367"/>
      <c r="D23" s="367"/>
      <c r="E23" s="367"/>
      <c r="F23" s="367"/>
      <c r="G23" s="367"/>
    </row>
    <row r="24" spans="1:7">
      <c r="A24" s="370" t="s">
        <v>168</v>
      </c>
      <c r="B24" s="370"/>
      <c r="C24" s="370"/>
      <c r="D24" s="370"/>
      <c r="E24" s="370"/>
      <c r="F24" s="370"/>
      <c r="G24" s="370"/>
    </row>
    <row r="25" spans="1:7" ht="12" customHeight="1">
      <c r="B25" s="13"/>
      <c r="C25" s="13"/>
      <c r="D25" s="13"/>
      <c r="E25" s="13"/>
      <c r="F25" s="13"/>
      <c r="G25" s="13"/>
    </row>
    <row r="26" spans="1:7" ht="42" customHeight="1">
      <c r="A26" s="371" t="s">
        <v>201</v>
      </c>
      <c r="B26" s="372" t="s">
        <v>18</v>
      </c>
      <c r="C26" s="368" t="s">
        <v>591</v>
      </c>
      <c r="D26" s="364" t="s">
        <v>462</v>
      </c>
      <c r="E26" s="364"/>
      <c r="F26" s="364"/>
      <c r="G26" s="364"/>
    </row>
    <row r="27" spans="1:7" ht="55.5" customHeight="1">
      <c r="A27" s="371"/>
      <c r="B27" s="372"/>
      <c r="C27" s="368"/>
      <c r="D27" s="135" t="s">
        <v>463</v>
      </c>
      <c r="E27" s="135" t="s">
        <v>590</v>
      </c>
      <c r="F27" s="135" t="s">
        <v>465</v>
      </c>
      <c r="G27" s="135" t="s">
        <v>466</v>
      </c>
    </row>
    <row r="28" spans="1:7" ht="20.100000000000001" customHeight="1">
      <c r="A28" s="42">
        <v>1</v>
      </c>
      <c r="B28" s="43">
        <v>2</v>
      </c>
      <c r="C28" s="298">
        <v>3</v>
      </c>
      <c r="D28" s="136">
        <v>4</v>
      </c>
      <c r="E28" s="273"/>
      <c r="F28" s="136">
        <v>6</v>
      </c>
      <c r="G28" s="137">
        <v>7</v>
      </c>
    </row>
    <row r="29" spans="1:7" ht="24.95" customHeight="1">
      <c r="A29" s="359" t="s">
        <v>82</v>
      </c>
      <c r="B29" s="359"/>
      <c r="C29" s="359"/>
      <c r="D29" s="359"/>
      <c r="E29" s="359"/>
      <c r="F29" s="359"/>
      <c r="G29" s="359"/>
    </row>
    <row r="30" spans="1:7" ht="37.5">
      <c r="A30" s="44" t="s">
        <v>169</v>
      </c>
      <c r="B30" s="125">
        <v>1000</v>
      </c>
      <c r="C30" s="223">
        <f>'I. Фін результат'!C7</f>
        <v>15803</v>
      </c>
      <c r="D30" s="95">
        <f>'I. Фін результат'!D7</f>
        <v>21120</v>
      </c>
      <c r="E30" s="224">
        <f>'I. Фін результат'!E7</f>
        <v>13179</v>
      </c>
      <c r="F30" s="138">
        <f t="shared" ref="F30:F44" si="0">E30-D30</f>
        <v>-7941</v>
      </c>
      <c r="G30" s="139">
        <f t="shared" ref="G30:G44" si="1">E30/D30*100</f>
        <v>62.400568181818187</v>
      </c>
    </row>
    <row r="31" spans="1:7" ht="37.5">
      <c r="A31" s="44" t="s">
        <v>147</v>
      </c>
      <c r="B31" s="125">
        <v>1010</v>
      </c>
      <c r="C31" s="223">
        <f>'I. Фін результат'!C9</f>
        <v>136518</v>
      </c>
      <c r="D31" s="95">
        <f>'I. Фін результат'!D9</f>
        <v>174054</v>
      </c>
      <c r="E31" s="224">
        <f>'I. Фін результат'!E9</f>
        <v>157979</v>
      </c>
      <c r="F31" s="138">
        <f t="shared" si="0"/>
        <v>-16075</v>
      </c>
      <c r="G31" s="139">
        <f t="shared" si="1"/>
        <v>90.764360485826231</v>
      </c>
    </row>
    <row r="32" spans="1:7" ht="20.100000000000001" customHeight="1">
      <c r="A32" s="45" t="s">
        <v>219</v>
      </c>
      <c r="B32" s="125">
        <v>1020</v>
      </c>
      <c r="C32" s="145">
        <f>C30-C31</f>
        <v>-120715</v>
      </c>
      <c r="D32" s="94">
        <f>D30-D31</f>
        <v>-152934</v>
      </c>
      <c r="E32" s="94">
        <f>E30-E31</f>
        <v>-144800</v>
      </c>
      <c r="F32" s="138">
        <f t="shared" si="0"/>
        <v>8134</v>
      </c>
      <c r="G32" s="139">
        <f t="shared" si="1"/>
        <v>94.681365817934534</v>
      </c>
    </row>
    <row r="33" spans="1:7" ht="20.100000000000001" customHeight="1">
      <c r="A33" s="44" t="s">
        <v>113</v>
      </c>
      <c r="B33" s="125">
        <v>1040</v>
      </c>
      <c r="C33" s="223">
        <f>'I. Фін результат'!C44</f>
        <v>25255</v>
      </c>
      <c r="D33" s="95">
        <f>'I. Фін результат'!D44</f>
        <v>33411</v>
      </c>
      <c r="E33" s="224">
        <f>'I. Фін результат'!E44</f>
        <v>30291</v>
      </c>
      <c r="F33" s="138">
        <f t="shared" si="0"/>
        <v>-3120</v>
      </c>
      <c r="G33" s="139">
        <f t="shared" si="1"/>
        <v>90.661758103618567</v>
      </c>
    </row>
    <row r="34" spans="1:7" ht="20.100000000000001" customHeight="1">
      <c r="A34" s="44" t="s">
        <v>110</v>
      </c>
      <c r="B34" s="125">
        <v>1070</v>
      </c>
      <c r="C34" s="223">
        <f>'I. Фін результат'!C90</f>
        <v>0</v>
      </c>
      <c r="D34" s="95">
        <f>'I. Фін результат'!D90</f>
        <v>0</v>
      </c>
      <c r="E34" s="224">
        <f>'I. Фін результат'!E90</f>
        <v>0</v>
      </c>
      <c r="F34" s="138">
        <f t="shared" si="0"/>
        <v>0</v>
      </c>
      <c r="G34" s="139" t="e">
        <f t="shared" si="1"/>
        <v>#DIV/0!</v>
      </c>
    </row>
    <row r="35" spans="1:7" ht="20.100000000000001" customHeight="1">
      <c r="A35" s="44" t="s">
        <v>114</v>
      </c>
      <c r="B35" s="125">
        <v>1300</v>
      </c>
      <c r="C35" s="223">
        <f>'I. Фін результат'!C22-'I. Фін результат'!C97</f>
        <v>141795</v>
      </c>
      <c r="D35" s="95">
        <f>'I. Фін результат'!D22-'I. Фін результат'!D97</f>
        <v>186345</v>
      </c>
      <c r="E35" s="224">
        <f>'I. Фін результат'!E22-'I. Фін результат'!E97</f>
        <v>175746</v>
      </c>
      <c r="F35" s="138">
        <f t="shared" si="0"/>
        <v>-10599</v>
      </c>
      <c r="G35" s="139">
        <f t="shared" si="1"/>
        <v>94.312162923609435</v>
      </c>
    </row>
    <row r="36" spans="1:7" ht="37.5">
      <c r="A36" s="46" t="s">
        <v>4</v>
      </c>
      <c r="B36" s="125">
        <v>1100</v>
      </c>
      <c r="C36" s="145">
        <f>C32-C33+C35</f>
        <v>-4175</v>
      </c>
      <c r="D36" s="94">
        <f>D32-D33+D35</f>
        <v>0</v>
      </c>
      <c r="E36" s="94">
        <f>E32-E33+E35</f>
        <v>655</v>
      </c>
      <c r="F36" s="138">
        <f t="shared" si="0"/>
        <v>655</v>
      </c>
      <c r="G36" s="139" t="e">
        <f t="shared" si="1"/>
        <v>#DIV/0!</v>
      </c>
    </row>
    <row r="37" spans="1:7" ht="20.100000000000001" customHeight="1">
      <c r="A37" s="46" t="s">
        <v>115</v>
      </c>
      <c r="B37" s="125">
        <v>1410</v>
      </c>
      <c r="C37" s="223">
        <f>'I. Фін результат'!C161</f>
        <v>2148</v>
      </c>
      <c r="D37" s="95">
        <f>'I. Фін результат'!D161</f>
        <v>7507</v>
      </c>
      <c r="E37" s="224">
        <f>'I. Фін результат'!E161</f>
        <v>9479</v>
      </c>
      <c r="F37" s="138">
        <f t="shared" si="0"/>
        <v>1972</v>
      </c>
      <c r="G37" s="139">
        <f t="shared" si="1"/>
        <v>126.26881577194618</v>
      </c>
    </row>
    <row r="38" spans="1:7" ht="20.100000000000001" customHeight="1">
      <c r="A38" s="47" t="s">
        <v>186</v>
      </c>
      <c r="B38" s="125">
        <v>5010</v>
      </c>
      <c r="C38" s="223">
        <f>C37*100/C30</f>
        <v>13.592355881794596</v>
      </c>
      <c r="D38" s="95">
        <f>D37*100/D30</f>
        <v>35.544507575757578</v>
      </c>
      <c r="E38" s="224">
        <f>E37*100/E30</f>
        <v>71.925032248273766</v>
      </c>
      <c r="F38" s="138">
        <f t="shared" si="0"/>
        <v>36.380524672516188</v>
      </c>
      <c r="G38" s="139">
        <f t="shared" si="1"/>
        <v>202.35202891748258</v>
      </c>
    </row>
    <row r="39" spans="1:7" ht="37.5">
      <c r="A39" s="47" t="s">
        <v>116</v>
      </c>
      <c r="B39" s="125">
        <v>1310</v>
      </c>
      <c r="C39" s="223">
        <f>'I. Фін результат'!C151</f>
        <v>0</v>
      </c>
      <c r="D39" s="224">
        <f>'I. Фін результат'!D151</f>
        <v>0</v>
      </c>
      <c r="E39" s="224">
        <f>'I. Фін результат'!E151</f>
        <v>-2646</v>
      </c>
      <c r="F39" s="138">
        <f t="shared" si="0"/>
        <v>-2646</v>
      </c>
      <c r="G39" s="139" t="e">
        <f t="shared" si="1"/>
        <v>#DIV/0!</v>
      </c>
    </row>
    <row r="40" spans="1:7" ht="20.100000000000001" customHeight="1">
      <c r="A40" s="44" t="s">
        <v>191</v>
      </c>
      <c r="B40" s="125">
        <v>1320</v>
      </c>
      <c r="C40" s="223">
        <f>'I. Фін результат'!C136-'I. Фін результат'!C139</f>
        <v>0</v>
      </c>
      <c r="D40" s="224">
        <f>'I. Фін результат'!D136-'I. Фін результат'!D139</f>
        <v>0</v>
      </c>
      <c r="E40" s="224">
        <f>'I. Фін результат'!E136-'I. Фін результат'!E139</f>
        <v>0</v>
      </c>
      <c r="F40" s="138">
        <f t="shared" si="0"/>
        <v>0</v>
      </c>
      <c r="G40" s="139" t="e">
        <f t="shared" si="1"/>
        <v>#DIV/0!</v>
      </c>
    </row>
    <row r="41" spans="1:7">
      <c r="A41" s="46" t="s">
        <v>80</v>
      </c>
      <c r="B41" s="125">
        <v>1170</v>
      </c>
      <c r="C41" s="145">
        <f>C36+C40</f>
        <v>-4175</v>
      </c>
      <c r="D41" s="94">
        <f>D36+D40</f>
        <v>0</v>
      </c>
      <c r="E41" s="94">
        <f>E36+E40</f>
        <v>655</v>
      </c>
      <c r="F41" s="138">
        <f t="shared" si="0"/>
        <v>655</v>
      </c>
      <c r="G41" s="139" t="e">
        <f t="shared" si="1"/>
        <v>#DIV/0!</v>
      </c>
    </row>
    <row r="42" spans="1:7" ht="20.100000000000001" customHeight="1">
      <c r="A42" s="47" t="s">
        <v>111</v>
      </c>
      <c r="B42" s="125">
        <v>1180</v>
      </c>
      <c r="C42" s="223">
        <f>'I. Фін результат'!C143</f>
        <v>0</v>
      </c>
      <c r="D42" s="224">
        <f>'I. Фін результат'!D143</f>
        <v>0</v>
      </c>
      <c r="E42" s="224">
        <f>'I. Фін результат'!E143</f>
        <v>0</v>
      </c>
      <c r="F42" s="138">
        <f t="shared" si="0"/>
        <v>0</v>
      </c>
      <c r="G42" s="139" t="e">
        <f t="shared" si="1"/>
        <v>#DIV/0!</v>
      </c>
    </row>
    <row r="43" spans="1:7" ht="20.100000000000001" customHeight="1">
      <c r="A43" s="46" t="s">
        <v>187</v>
      </c>
      <c r="B43" s="125">
        <v>1200</v>
      </c>
      <c r="C43" s="145">
        <f>'I. Фін результат'!C145</f>
        <v>-4175</v>
      </c>
      <c r="D43" s="94">
        <f>'I. Фін результат'!D145</f>
        <v>0</v>
      </c>
      <c r="E43" s="94">
        <f>'I. Фін результат'!E145</f>
        <v>-1991</v>
      </c>
      <c r="F43" s="138">
        <f t="shared" si="0"/>
        <v>-1991</v>
      </c>
      <c r="G43" s="139" t="e">
        <f t="shared" si="1"/>
        <v>#DIV/0!</v>
      </c>
    </row>
    <row r="44" spans="1:7" ht="20.100000000000001" customHeight="1">
      <c r="A44" s="47" t="s">
        <v>188</v>
      </c>
      <c r="B44" s="125">
        <v>5040</v>
      </c>
      <c r="C44" s="299">
        <f>C43/C30</f>
        <v>-0.26419034360564447</v>
      </c>
      <c r="D44" s="127">
        <f>D43/D30</f>
        <v>0</v>
      </c>
      <c r="E44" s="127">
        <f>E43/E30</f>
        <v>-0.15107367782077546</v>
      </c>
      <c r="F44" s="138">
        <f t="shared" si="0"/>
        <v>-0.15107367782077546</v>
      </c>
      <c r="G44" s="139" t="e">
        <f t="shared" si="1"/>
        <v>#DIV/0!</v>
      </c>
    </row>
    <row r="45" spans="1:7" ht="24.95" customHeight="1">
      <c r="A45" s="369" t="s">
        <v>128</v>
      </c>
      <c r="B45" s="369"/>
      <c r="C45" s="369"/>
      <c r="D45" s="369"/>
      <c r="E45" s="369"/>
      <c r="F45" s="369"/>
      <c r="G45" s="369"/>
    </row>
    <row r="46" spans="1:7" ht="20.100000000000001" customHeight="1">
      <c r="A46" s="124" t="s">
        <v>244</v>
      </c>
      <c r="B46" s="125">
        <v>2100</v>
      </c>
      <c r="C46" s="223">
        <f>'ІІ. Розр. з бюджетом'!C23</f>
        <v>0</v>
      </c>
      <c r="D46" s="95">
        <f>'ІІ. Розр. з бюджетом'!D23</f>
        <v>0</v>
      </c>
      <c r="E46" s="224">
        <f>'ІІ. Розр. з бюджетом'!E23</f>
        <v>0</v>
      </c>
      <c r="F46" s="138">
        <f t="shared" ref="F46:F51" si="2">E46-D46</f>
        <v>0</v>
      </c>
      <c r="G46" s="139" t="e">
        <f t="shared" ref="G46:G51" si="3">E46/D46*100</f>
        <v>#DIV/0!</v>
      </c>
    </row>
    <row r="47" spans="1:7" ht="20.100000000000001" customHeight="1">
      <c r="A47" s="48" t="s">
        <v>127</v>
      </c>
      <c r="B47" s="125">
        <v>2110</v>
      </c>
      <c r="C47" s="223">
        <f>'ІІ. Розр. з бюджетом'!C26</f>
        <v>0</v>
      </c>
      <c r="D47" s="95">
        <f>'ІІ. Розр. з бюджетом'!D26</f>
        <v>0</v>
      </c>
      <c r="E47" s="224">
        <f>'ІІ. Розр. з бюджетом'!E26</f>
        <v>0</v>
      </c>
      <c r="F47" s="138">
        <f t="shared" si="2"/>
        <v>0</v>
      </c>
      <c r="G47" s="139" t="e">
        <f t="shared" si="3"/>
        <v>#DIV/0!</v>
      </c>
    </row>
    <row r="48" spans="1:7" ht="56.25">
      <c r="A48" s="48" t="s">
        <v>240</v>
      </c>
      <c r="B48" s="125" t="s">
        <v>189</v>
      </c>
      <c r="C48" s="223">
        <f>'ІІ. Розр. з бюджетом'!C28</f>
        <v>-355465</v>
      </c>
      <c r="D48" s="95">
        <f>'ІІ. Розр. з бюджетом'!D28</f>
        <v>-355465</v>
      </c>
      <c r="E48" s="224">
        <f>'ІІ. Розр. з бюджетом'!E28</f>
        <v>-457886</v>
      </c>
      <c r="F48" s="138">
        <f t="shared" si="2"/>
        <v>-102421</v>
      </c>
      <c r="G48" s="139">
        <f t="shared" si="3"/>
        <v>128.81324462323997</v>
      </c>
    </row>
    <row r="49" spans="1:7" ht="37.5">
      <c r="A49" s="124" t="s">
        <v>245</v>
      </c>
      <c r="B49" s="125">
        <v>2140</v>
      </c>
      <c r="C49" s="223">
        <f>'ІІ. Розр. з бюджетом'!C29</f>
        <v>18363</v>
      </c>
      <c r="D49" s="95">
        <f>'ІІ. Розр. з бюджетом'!D29</f>
        <v>21190</v>
      </c>
      <c r="E49" s="224">
        <f>'ІІ. Розр. з бюджетом'!E29</f>
        <v>20337</v>
      </c>
      <c r="F49" s="138">
        <f t="shared" si="2"/>
        <v>-853</v>
      </c>
      <c r="G49" s="139">
        <f t="shared" si="3"/>
        <v>95.974516281264741</v>
      </c>
    </row>
    <row r="50" spans="1:7" ht="39" customHeight="1">
      <c r="A50" s="124" t="s">
        <v>71</v>
      </c>
      <c r="B50" s="125">
        <v>2150</v>
      </c>
      <c r="C50" s="223">
        <f>'ІІ. Розр. з бюджетом'!C45</f>
        <v>18163</v>
      </c>
      <c r="D50" s="95">
        <f>'ІІ. Розр. з бюджетом'!D45</f>
        <v>23145</v>
      </c>
      <c r="E50" s="224">
        <f>'ІІ. Розр. з бюджетом'!E45</f>
        <v>20711</v>
      </c>
      <c r="F50" s="138">
        <f t="shared" si="2"/>
        <v>-2434</v>
      </c>
      <c r="G50" s="139">
        <f t="shared" si="3"/>
        <v>89.483689781810327</v>
      </c>
    </row>
    <row r="51" spans="1:7" ht="20.100000000000001" customHeight="1">
      <c r="A51" s="49" t="s">
        <v>246</v>
      </c>
      <c r="B51" s="143">
        <v>2200</v>
      </c>
      <c r="C51" s="145">
        <f>SUM(C46:C50)</f>
        <v>-318939</v>
      </c>
      <c r="D51" s="145">
        <f>SUM(D46:D50)</f>
        <v>-311130</v>
      </c>
      <c r="E51" s="145">
        <f>SUM(E46:E50)</f>
        <v>-416838</v>
      </c>
      <c r="F51" s="138">
        <f t="shared" si="2"/>
        <v>-105708</v>
      </c>
      <c r="G51" s="139">
        <f t="shared" si="3"/>
        <v>133.97550862983317</v>
      </c>
    </row>
    <row r="52" spans="1:7" ht="24.95" customHeight="1">
      <c r="A52" s="369" t="s">
        <v>126</v>
      </c>
      <c r="B52" s="369"/>
      <c r="C52" s="369"/>
      <c r="D52" s="369"/>
      <c r="E52" s="369"/>
      <c r="F52" s="369"/>
      <c r="G52" s="369"/>
    </row>
    <row r="53" spans="1:7" ht="20.100000000000001" customHeight="1">
      <c r="A53" s="49" t="s">
        <v>117</v>
      </c>
      <c r="B53" s="146">
        <v>3600</v>
      </c>
      <c r="C53" s="145">
        <f>'ІІІ. Рух грош. коштів'!C142</f>
        <v>35677</v>
      </c>
      <c r="D53" s="145">
        <f>'ІІІ. Рух грош. коштів'!D142</f>
        <v>41428</v>
      </c>
      <c r="E53" s="145">
        <f>'ІІІ. Рух грош. коштів'!E142</f>
        <v>41428</v>
      </c>
      <c r="F53" s="138">
        <f t="shared" ref="F53:F58" si="4">E53-D53</f>
        <v>0</v>
      </c>
      <c r="G53" s="139">
        <f t="shared" ref="G53:G58" si="5">E53/D53*100</f>
        <v>100</v>
      </c>
    </row>
    <row r="54" spans="1:7" ht="37.5">
      <c r="A54" s="124" t="s">
        <v>118</v>
      </c>
      <c r="B54" s="125">
        <v>3090</v>
      </c>
      <c r="C54" s="223">
        <f>'ІІІ. Рух грош. коштів'!C32</f>
        <v>73480</v>
      </c>
      <c r="D54" s="95">
        <f>'ІІІ. Рух грош. коштів'!D32</f>
        <v>47779</v>
      </c>
      <c r="E54" s="224">
        <f>'ІІІ. Рух грош. коштів'!E32</f>
        <v>27410</v>
      </c>
      <c r="F54" s="138">
        <f t="shared" si="4"/>
        <v>-20369</v>
      </c>
      <c r="G54" s="139">
        <f t="shared" si="5"/>
        <v>57.368299880700725</v>
      </c>
    </row>
    <row r="55" spans="1:7" ht="37.5">
      <c r="A55" s="124" t="s">
        <v>192</v>
      </c>
      <c r="B55" s="125">
        <v>3320</v>
      </c>
      <c r="C55" s="223">
        <f>'ІІІ. Рух грош. коштів'!C110</f>
        <v>-82015</v>
      </c>
      <c r="D55" s="95">
        <f>'ІІІ. Рух грош. коштів'!D110</f>
        <v>-1665</v>
      </c>
      <c r="E55" s="224">
        <f>'ІІІ. Рух грош. коштів'!E110</f>
        <v>-32434</v>
      </c>
      <c r="F55" s="138">
        <f t="shared" si="4"/>
        <v>-30769</v>
      </c>
      <c r="G55" s="139">
        <f t="shared" si="5"/>
        <v>1947.9879879879882</v>
      </c>
    </row>
    <row r="56" spans="1:7" ht="37.5">
      <c r="A56" s="124" t="s">
        <v>119</v>
      </c>
      <c r="B56" s="125">
        <v>3580</v>
      </c>
      <c r="C56" s="223">
        <f>'ІІІ. Рух грош. коштів'!C140</f>
        <v>-32</v>
      </c>
      <c r="D56" s="95">
        <f>'ІІІ. Рух грош. коштів'!D140</f>
        <v>0</v>
      </c>
      <c r="E56" s="224">
        <f>'ІІІ. Рух грош. коштів'!E140</f>
        <v>0</v>
      </c>
      <c r="F56" s="138">
        <f t="shared" si="4"/>
        <v>0</v>
      </c>
      <c r="G56" s="139" t="e">
        <f t="shared" si="5"/>
        <v>#DIV/0!</v>
      </c>
    </row>
    <row r="57" spans="1:7">
      <c r="A57" s="124" t="s">
        <v>142</v>
      </c>
      <c r="B57" s="125">
        <v>3610</v>
      </c>
      <c r="C57" s="223">
        <f>'ІІІ. Рух грош. коштів'!C143</f>
        <v>0</v>
      </c>
      <c r="D57" s="95">
        <f>'ІІІ. Рух грош. коштів'!D143</f>
        <v>0</v>
      </c>
      <c r="E57" s="224">
        <f>'ІІІ. Рух грош. коштів'!E143</f>
        <v>0</v>
      </c>
      <c r="F57" s="138">
        <f t="shared" si="4"/>
        <v>0</v>
      </c>
      <c r="G57" s="139" t="e">
        <f t="shared" si="5"/>
        <v>#DIV/0!</v>
      </c>
    </row>
    <row r="58" spans="1:7" ht="20.100000000000001" customHeight="1">
      <c r="A58" s="49" t="s">
        <v>120</v>
      </c>
      <c r="B58" s="125">
        <v>3620</v>
      </c>
      <c r="C58" s="145">
        <f>'ІІІ. Рух грош. коштів'!C144</f>
        <v>27110</v>
      </c>
      <c r="D58" s="145">
        <f>'ІІІ. Рух грош. коштів'!D144</f>
        <v>87542</v>
      </c>
      <c r="E58" s="145">
        <f>'ІІІ. Рух грош. коштів'!E144</f>
        <v>36404</v>
      </c>
      <c r="F58" s="138">
        <f t="shared" si="4"/>
        <v>-51138</v>
      </c>
      <c r="G58" s="139">
        <f t="shared" si="5"/>
        <v>41.584610815380046</v>
      </c>
    </row>
    <row r="59" spans="1:7" ht="24.95" customHeight="1">
      <c r="A59" s="361" t="s">
        <v>173</v>
      </c>
      <c r="B59" s="362"/>
      <c r="C59" s="362"/>
      <c r="D59" s="362"/>
      <c r="E59" s="362"/>
      <c r="F59" s="362"/>
      <c r="G59" s="363"/>
    </row>
    <row r="60" spans="1:7" ht="20.100000000000001" customHeight="1">
      <c r="A60" s="124" t="s">
        <v>172</v>
      </c>
      <c r="B60" s="125">
        <v>4000</v>
      </c>
      <c r="C60" s="223">
        <f>'IV. Кап. інвестиції'!C6</f>
        <v>348733</v>
      </c>
      <c r="D60" s="81">
        <f>'IV. Кап. інвестиції'!D6</f>
        <v>813852</v>
      </c>
      <c r="E60" s="223">
        <f>'IV. Кап. інвестиції'!E6</f>
        <v>123674</v>
      </c>
      <c r="F60" s="138">
        <f>E60-D60</f>
        <v>-690178</v>
      </c>
      <c r="G60" s="139">
        <f>E60/D60*100</f>
        <v>15.19612902591626</v>
      </c>
    </row>
    <row r="61" spans="1:7" ht="24.95" customHeight="1">
      <c r="A61" s="360" t="s">
        <v>176</v>
      </c>
      <c r="B61" s="360"/>
      <c r="C61" s="360"/>
      <c r="D61" s="360"/>
      <c r="E61" s="360"/>
      <c r="F61" s="360"/>
      <c r="G61" s="360"/>
    </row>
    <row r="62" spans="1:7" ht="20.100000000000001" customHeight="1">
      <c r="A62" s="124" t="s">
        <v>145</v>
      </c>
      <c r="B62" s="125">
        <v>5020</v>
      </c>
      <c r="C62" s="142">
        <f>C43/C69</f>
        <v>-1.2005913523489749E-3</v>
      </c>
      <c r="D62" s="142">
        <f>D43/D69</f>
        <v>0</v>
      </c>
      <c r="E62" s="142">
        <f>E43/E69</f>
        <v>-4.8335508147968317E-4</v>
      </c>
      <c r="F62" s="138">
        <f>E62-D62</f>
        <v>-4.8335508147968317E-4</v>
      </c>
      <c r="G62" s="139" t="e">
        <f>E62/D62*100</f>
        <v>#DIV/0!</v>
      </c>
    </row>
    <row r="63" spans="1:7">
      <c r="A63" s="124" t="s">
        <v>141</v>
      </c>
      <c r="B63" s="125">
        <v>5030</v>
      </c>
      <c r="C63" s="142">
        <f>C43/C75</f>
        <v>-7.0540211299612576E-3</v>
      </c>
      <c r="D63" s="142">
        <f>D43/D75</f>
        <v>0</v>
      </c>
      <c r="E63" s="142">
        <f>E43/E75</f>
        <v>-3.345352631419767E-3</v>
      </c>
      <c r="F63" s="138">
        <f>E63-D63</f>
        <v>-3.345352631419767E-3</v>
      </c>
      <c r="G63" s="139" t="e">
        <f>E63/D63*100</f>
        <v>#DIV/0!</v>
      </c>
    </row>
    <row r="64" spans="1:7" ht="20.100000000000001" customHeight="1">
      <c r="A64" s="124" t="s">
        <v>190</v>
      </c>
      <c r="B64" s="125">
        <v>5110</v>
      </c>
      <c r="C64" s="142">
        <f>C75/C72</f>
        <v>0.20510903828399857</v>
      </c>
      <c r="D64" s="142">
        <f>D75/D72</f>
        <v>0.2472727079961555</v>
      </c>
      <c r="E64" s="142">
        <f>E75/E72</f>
        <v>0.16888731490696149</v>
      </c>
      <c r="F64" s="138">
        <f>E64-D64</f>
        <v>-7.8385393089194011E-2</v>
      </c>
      <c r="G64" s="139">
        <f>E64/D64*100</f>
        <v>68.300022382408372</v>
      </c>
    </row>
    <row r="65" spans="1:11" ht="24.95" customHeight="1">
      <c r="A65" s="369" t="s">
        <v>175</v>
      </c>
      <c r="B65" s="369"/>
      <c r="C65" s="369"/>
      <c r="D65" s="369"/>
      <c r="E65" s="369"/>
      <c r="F65" s="369"/>
      <c r="G65" s="369"/>
    </row>
    <row r="66" spans="1:11" ht="20.100000000000001" customHeight="1">
      <c r="A66" s="124" t="s">
        <v>121</v>
      </c>
      <c r="B66" s="125">
        <v>6000</v>
      </c>
      <c r="C66" s="145">
        <v>2685430</v>
      </c>
      <c r="D66" s="300">
        <v>2446110</v>
      </c>
      <c r="E66" s="335">
        <v>3188748</v>
      </c>
      <c r="F66" s="138">
        <f t="shared" ref="F66:F75" si="6">E66-D66</f>
        <v>742638</v>
      </c>
      <c r="G66" s="139">
        <f t="shared" ref="G66:G75" si="7">E66/D66*100</f>
        <v>130.35995928228903</v>
      </c>
    </row>
    <row r="67" spans="1:11" ht="20.100000000000001" customHeight="1">
      <c r="A67" s="124" t="s">
        <v>122</v>
      </c>
      <c r="B67" s="125">
        <v>6010</v>
      </c>
      <c r="C67" s="145">
        <v>792023</v>
      </c>
      <c r="D67" s="301">
        <v>612628</v>
      </c>
      <c r="E67" s="335">
        <v>930377</v>
      </c>
      <c r="F67" s="138">
        <f t="shared" si="6"/>
        <v>317749</v>
      </c>
      <c r="G67" s="139">
        <f t="shared" si="7"/>
        <v>151.8665487049237</v>
      </c>
    </row>
    <row r="68" spans="1:11">
      <c r="A68" s="124" t="s">
        <v>202</v>
      </c>
      <c r="B68" s="125">
        <v>6020</v>
      </c>
      <c r="C68" s="145">
        <f>'[36]ІІІ. Рух грош. коштів'!C145</f>
        <v>18694</v>
      </c>
      <c r="D68" s="301">
        <f>D58</f>
        <v>87542</v>
      </c>
      <c r="E68" s="301">
        <f>E58</f>
        <v>36404</v>
      </c>
      <c r="F68" s="138">
        <f t="shared" si="6"/>
        <v>-51138</v>
      </c>
      <c r="G68" s="139">
        <f t="shared" si="7"/>
        <v>41.584610815380046</v>
      </c>
    </row>
    <row r="69" spans="1:11" s="3" customFormat="1" ht="20.100000000000001" customHeight="1">
      <c r="A69" s="49" t="s">
        <v>206</v>
      </c>
      <c r="B69" s="125">
        <v>6030</v>
      </c>
      <c r="C69" s="257">
        <f>C66+C67</f>
        <v>3477453</v>
      </c>
      <c r="D69" s="302">
        <f>D66+D67</f>
        <v>3058738</v>
      </c>
      <c r="E69" s="336">
        <f>E66+E67</f>
        <v>4119125</v>
      </c>
      <c r="F69" s="188">
        <f t="shared" si="6"/>
        <v>1060387</v>
      </c>
      <c r="G69" s="139">
        <f t="shared" si="7"/>
        <v>134.66746743264707</v>
      </c>
    </row>
    <row r="70" spans="1:11" ht="20.100000000000001" customHeight="1">
      <c r="A70" s="124" t="s">
        <v>143</v>
      </c>
      <c r="B70" s="125">
        <v>6040</v>
      </c>
      <c r="C70" s="145">
        <v>0</v>
      </c>
      <c r="D70" s="301">
        <v>0</v>
      </c>
      <c r="E70" s="335">
        <v>2683</v>
      </c>
      <c r="F70" s="138">
        <f t="shared" si="6"/>
        <v>2683</v>
      </c>
      <c r="G70" s="139" t="e">
        <f t="shared" si="7"/>
        <v>#DIV/0!</v>
      </c>
    </row>
    <row r="71" spans="1:11" ht="20.100000000000001" customHeight="1">
      <c r="A71" s="124" t="s">
        <v>144</v>
      </c>
      <c r="B71" s="125">
        <v>6050</v>
      </c>
      <c r="C71" s="145">
        <f>C69-C75</f>
        <v>2885592</v>
      </c>
      <c r="D71" s="301">
        <f>2452372-31</f>
        <v>2452341</v>
      </c>
      <c r="E71" s="335">
        <v>3521288</v>
      </c>
      <c r="F71" s="138">
        <f t="shared" si="6"/>
        <v>1068947</v>
      </c>
      <c r="G71" s="139">
        <f t="shared" si="7"/>
        <v>143.5888402143095</v>
      </c>
    </row>
    <row r="72" spans="1:11" s="3" customFormat="1" ht="20.100000000000001" customHeight="1">
      <c r="A72" s="49" t="s">
        <v>205</v>
      </c>
      <c r="B72" s="125">
        <v>6060</v>
      </c>
      <c r="C72" s="145">
        <f>SUM(C70:C71)</f>
        <v>2885592</v>
      </c>
      <c r="D72" s="337">
        <f>D71</f>
        <v>2452341</v>
      </c>
      <c r="E72" s="336">
        <f>SUM(E70:E71)</f>
        <v>3523971</v>
      </c>
      <c r="F72" s="338">
        <f t="shared" si="6"/>
        <v>1071630</v>
      </c>
      <c r="G72" s="139">
        <f t="shared" si="7"/>
        <v>143.69824588016104</v>
      </c>
    </row>
    <row r="73" spans="1:11" ht="20.100000000000001" customHeight="1">
      <c r="A73" s="124" t="s">
        <v>203</v>
      </c>
      <c r="B73" s="125">
        <v>6070</v>
      </c>
      <c r="C73" s="145">
        <v>0</v>
      </c>
      <c r="D73" s="301">
        <v>0</v>
      </c>
      <c r="E73" s="335">
        <v>0</v>
      </c>
      <c r="F73" s="138">
        <f t="shared" si="6"/>
        <v>0</v>
      </c>
      <c r="G73" s="139" t="e">
        <f t="shared" si="7"/>
        <v>#DIV/0!</v>
      </c>
    </row>
    <row r="74" spans="1:11" ht="20.100000000000001" customHeight="1">
      <c r="A74" s="124" t="s">
        <v>204</v>
      </c>
      <c r="B74" s="125">
        <v>6080</v>
      </c>
      <c r="C74" s="145">
        <v>0</v>
      </c>
      <c r="D74" s="301">
        <v>0</v>
      </c>
      <c r="E74" s="335">
        <v>0</v>
      </c>
      <c r="F74" s="138">
        <f t="shared" si="6"/>
        <v>0</v>
      </c>
      <c r="G74" s="139" t="e">
        <f t="shared" si="7"/>
        <v>#DIV/0!</v>
      </c>
    </row>
    <row r="75" spans="1:11" s="3" customFormat="1" ht="20.100000000000001" customHeight="1">
      <c r="A75" s="49" t="s">
        <v>123</v>
      </c>
      <c r="B75" s="125">
        <v>6090</v>
      </c>
      <c r="C75" s="257">
        <v>591861</v>
      </c>
      <c r="D75" s="302">
        <v>606397</v>
      </c>
      <c r="E75" s="336">
        <v>595154</v>
      </c>
      <c r="F75" s="188">
        <f t="shared" si="6"/>
        <v>-11243</v>
      </c>
      <c r="G75" s="139">
        <f t="shared" si="7"/>
        <v>98.145934099278193</v>
      </c>
    </row>
    <row r="76" spans="1:11" s="3" customFormat="1" ht="24.95" customHeight="1">
      <c r="A76" s="32"/>
      <c r="B76" s="122"/>
      <c r="C76" s="216"/>
      <c r="D76" s="123"/>
      <c r="E76" s="123"/>
      <c r="F76" s="123"/>
      <c r="G76" s="123"/>
    </row>
    <row r="77" spans="1:11" ht="24.95" customHeight="1">
      <c r="A77" s="52"/>
      <c r="B77" s="122"/>
      <c r="C77" s="216"/>
      <c r="D77" s="61"/>
      <c r="E77" s="61"/>
      <c r="F77" s="61"/>
      <c r="G77" s="61"/>
    </row>
    <row r="78" spans="1:11" s="242" customFormat="1" ht="20.25" customHeight="1" thickBot="1">
      <c r="A78" s="62" t="s">
        <v>497</v>
      </c>
      <c r="B78" s="63"/>
      <c r="C78" s="221"/>
      <c r="D78" s="64"/>
      <c r="E78" s="285" t="s">
        <v>620</v>
      </c>
      <c r="F78" s="285"/>
      <c r="G78" s="285"/>
    </row>
    <row r="79" spans="1:11" s="1" customFormat="1" ht="21" customHeight="1">
      <c r="A79" s="216" t="s">
        <v>66</v>
      </c>
      <c r="B79" s="50"/>
      <c r="C79" s="104" t="s">
        <v>491</v>
      </c>
      <c r="D79" s="65"/>
      <c r="E79" s="284" t="s">
        <v>593</v>
      </c>
      <c r="F79" s="284"/>
      <c r="G79" s="284"/>
      <c r="K79"/>
    </row>
    <row r="81" spans="1:7">
      <c r="A81" s="24"/>
    </row>
    <row r="82" spans="1:7">
      <c r="A82" s="24"/>
    </row>
    <row r="83" spans="1:7">
      <c r="A83" s="24"/>
    </row>
    <row r="84" spans="1:7" s="12" customFormat="1">
      <c r="A84" s="24"/>
      <c r="C84" s="256"/>
      <c r="D84" s="2"/>
      <c r="E84" s="242"/>
      <c r="F84" s="2"/>
      <c r="G84" s="2"/>
    </row>
    <row r="85" spans="1:7" s="12" customFormat="1">
      <c r="A85" s="24"/>
      <c r="C85" s="256"/>
      <c r="D85" s="2"/>
      <c r="E85" s="242"/>
      <c r="F85" s="2"/>
      <c r="G85" s="2"/>
    </row>
    <row r="86" spans="1:7" s="12" customFormat="1">
      <c r="A86" s="24"/>
      <c r="C86" s="256"/>
      <c r="D86" s="2"/>
      <c r="E86" s="242"/>
      <c r="F86" s="2"/>
      <c r="G86" s="2"/>
    </row>
    <row r="87" spans="1:7" s="12" customFormat="1">
      <c r="A87" s="24"/>
      <c r="C87" s="256"/>
      <c r="D87" s="2"/>
      <c r="E87" s="242"/>
      <c r="F87" s="2"/>
      <c r="G87" s="2"/>
    </row>
    <row r="88" spans="1:7" s="12" customFormat="1">
      <c r="A88" s="24"/>
      <c r="C88" s="256"/>
      <c r="D88" s="2"/>
      <c r="E88" s="242"/>
      <c r="F88" s="2"/>
      <c r="G88" s="2"/>
    </row>
    <row r="89" spans="1:7" s="12" customFormat="1">
      <c r="A89" s="24"/>
      <c r="C89" s="256"/>
      <c r="D89" s="2"/>
      <c r="E89" s="242"/>
      <c r="F89" s="2"/>
      <c r="G89" s="2"/>
    </row>
    <row r="90" spans="1:7" s="12" customFormat="1">
      <c r="A90" s="24"/>
      <c r="C90" s="256"/>
      <c r="D90" s="2"/>
      <c r="E90" s="242"/>
      <c r="F90" s="2"/>
      <c r="G90" s="2"/>
    </row>
    <row r="91" spans="1:7" s="12" customFormat="1">
      <c r="A91" s="24"/>
      <c r="C91" s="256"/>
      <c r="D91" s="2"/>
      <c r="E91" s="242"/>
      <c r="F91" s="2"/>
      <c r="G91" s="2"/>
    </row>
    <row r="92" spans="1:7" s="12" customFormat="1">
      <c r="A92" s="24"/>
      <c r="C92" s="256"/>
      <c r="D92" s="2"/>
      <c r="E92" s="242"/>
      <c r="F92" s="2"/>
      <c r="G92" s="2"/>
    </row>
    <row r="93" spans="1:7" s="12" customFormat="1">
      <c r="A93" s="24"/>
      <c r="C93" s="256"/>
      <c r="D93" s="2"/>
      <c r="E93" s="242"/>
      <c r="F93" s="2"/>
      <c r="G93" s="2"/>
    </row>
    <row r="94" spans="1:7" s="12" customFormat="1">
      <c r="A94" s="24"/>
      <c r="C94" s="256"/>
      <c r="D94" s="2"/>
      <c r="E94" s="242"/>
      <c r="F94" s="2"/>
      <c r="G94" s="2"/>
    </row>
    <row r="95" spans="1:7" s="12" customFormat="1">
      <c r="A95" s="24"/>
      <c r="C95" s="256"/>
      <c r="D95" s="2"/>
      <c r="E95" s="242"/>
      <c r="F95" s="2"/>
      <c r="G95" s="2"/>
    </row>
    <row r="96" spans="1:7" s="12" customFormat="1">
      <c r="A96" s="24"/>
      <c r="C96" s="256"/>
      <c r="D96" s="2"/>
      <c r="E96" s="242"/>
      <c r="F96" s="2"/>
      <c r="G96" s="2"/>
    </row>
    <row r="97" spans="1:7" s="12" customFormat="1">
      <c r="A97" s="24"/>
      <c r="C97" s="256"/>
      <c r="D97" s="2"/>
      <c r="E97" s="242"/>
      <c r="F97" s="2"/>
      <c r="G97" s="2"/>
    </row>
    <row r="98" spans="1:7" s="12" customFormat="1">
      <c r="A98" s="24"/>
      <c r="C98" s="256"/>
      <c r="D98" s="2"/>
      <c r="E98" s="242"/>
      <c r="F98" s="2"/>
      <c r="G98" s="2"/>
    </row>
    <row r="99" spans="1:7" s="12" customFormat="1">
      <c r="A99" s="24"/>
      <c r="C99" s="256"/>
      <c r="D99" s="2"/>
      <c r="E99" s="242"/>
      <c r="F99" s="2"/>
      <c r="G99" s="2"/>
    </row>
    <row r="100" spans="1:7" s="12" customFormat="1">
      <c r="A100" s="24"/>
      <c r="C100" s="256"/>
      <c r="D100" s="2"/>
      <c r="E100" s="242"/>
      <c r="F100" s="2"/>
      <c r="G100" s="2"/>
    </row>
    <row r="101" spans="1:7" s="12" customFormat="1">
      <c r="A101" s="24"/>
      <c r="C101" s="256"/>
      <c r="D101" s="2"/>
      <c r="E101" s="242"/>
      <c r="F101" s="2"/>
      <c r="G101" s="2"/>
    </row>
    <row r="102" spans="1:7" s="12" customFormat="1">
      <c r="A102" s="24"/>
      <c r="C102" s="256"/>
      <c r="D102" s="2"/>
      <c r="E102" s="242"/>
      <c r="F102" s="2"/>
      <c r="G102" s="2"/>
    </row>
    <row r="103" spans="1:7" s="12" customFormat="1">
      <c r="A103" s="24"/>
      <c r="C103" s="256"/>
      <c r="D103" s="2"/>
      <c r="E103" s="242"/>
      <c r="F103" s="2"/>
      <c r="G103" s="2"/>
    </row>
    <row r="104" spans="1:7" s="12" customFormat="1">
      <c r="A104" s="24"/>
      <c r="C104" s="256"/>
      <c r="D104" s="2"/>
      <c r="E104" s="242"/>
      <c r="F104" s="2"/>
      <c r="G104" s="2"/>
    </row>
    <row r="105" spans="1:7" s="12" customFormat="1">
      <c r="A105" s="24"/>
      <c r="C105" s="256"/>
      <c r="D105" s="2"/>
      <c r="E105" s="242"/>
      <c r="F105" s="2"/>
      <c r="G105" s="2"/>
    </row>
    <row r="106" spans="1:7" s="12" customFormat="1">
      <c r="A106" s="24"/>
      <c r="C106" s="256"/>
      <c r="D106" s="2"/>
      <c r="E106" s="242"/>
      <c r="F106" s="2"/>
      <c r="G106" s="2"/>
    </row>
    <row r="107" spans="1:7" s="12" customFormat="1">
      <c r="A107" s="24"/>
      <c r="C107" s="256"/>
      <c r="D107" s="2"/>
      <c r="E107" s="242"/>
      <c r="F107" s="2"/>
      <c r="G107" s="2"/>
    </row>
    <row r="108" spans="1:7" s="12" customFormat="1">
      <c r="A108" s="24"/>
      <c r="C108" s="256"/>
      <c r="D108" s="2"/>
      <c r="E108" s="242"/>
      <c r="F108" s="2"/>
      <c r="G108" s="2"/>
    </row>
    <row r="109" spans="1:7" s="12" customFormat="1">
      <c r="A109" s="24"/>
      <c r="C109" s="256"/>
      <c r="D109" s="2"/>
      <c r="E109" s="242"/>
      <c r="F109" s="2"/>
      <c r="G109" s="2"/>
    </row>
    <row r="110" spans="1:7" s="12" customFormat="1">
      <c r="A110" s="24"/>
      <c r="C110" s="256"/>
      <c r="D110" s="2"/>
      <c r="E110" s="242"/>
      <c r="F110" s="2"/>
      <c r="G110" s="2"/>
    </row>
    <row r="111" spans="1:7" s="12" customFormat="1">
      <c r="A111" s="24"/>
      <c r="C111" s="256"/>
      <c r="D111" s="2"/>
      <c r="E111" s="242"/>
      <c r="F111" s="2"/>
      <c r="G111" s="2"/>
    </row>
    <row r="112" spans="1:7" s="12" customFormat="1">
      <c r="A112" s="24"/>
      <c r="C112" s="256"/>
      <c r="D112" s="2"/>
      <c r="E112" s="242"/>
      <c r="F112" s="2"/>
      <c r="G112" s="2"/>
    </row>
    <row r="113" spans="1:7" s="12" customFormat="1">
      <c r="A113" s="24"/>
      <c r="C113" s="256"/>
      <c r="D113" s="2"/>
      <c r="E113" s="242"/>
      <c r="F113" s="2"/>
      <c r="G113" s="2"/>
    </row>
    <row r="114" spans="1:7" s="12" customFormat="1">
      <c r="A114" s="24"/>
      <c r="C114" s="256"/>
      <c r="D114" s="2"/>
      <c r="E114" s="242"/>
      <c r="F114" s="2"/>
      <c r="G114" s="2"/>
    </row>
    <row r="115" spans="1:7" s="12" customFormat="1">
      <c r="A115" s="24"/>
      <c r="C115" s="256"/>
      <c r="D115" s="2"/>
      <c r="E115" s="242"/>
      <c r="F115" s="2"/>
      <c r="G115" s="2"/>
    </row>
    <row r="116" spans="1:7" s="12" customFormat="1">
      <c r="A116" s="24"/>
      <c r="C116" s="256"/>
      <c r="D116" s="2"/>
      <c r="E116" s="242"/>
      <c r="F116" s="2"/>
      <c r="G116" s="2"/>
    </row>
    <row r="117" spans="1:7" s="12" customFormat="1">
      <c r="A117" s="24"/>
      <c r="C117" s="256"/>
      <c r="D117" s="2"/>
      <c r="E117" s="242"/>
      <c r="F117" s="2"/>
      <c r="G117" s="2"/>
    </row>
    <row r="118" spans="1:7" s="12" customFormat="1">
      <c r="A118" s="24"/>
      <c r="C118" s="256"/>
      <c r="D118" s="2"/>
      <c r="E118" s="242"/>
      <c r="F118" s="2"/>
      <c r="G118" s="2"/>
    </row>
    <row r="119" spans="1:7" s="12" customFormat="1">
      <c r="A119" s="24"/>
      <c r="C119" s="256"/>
      <c r="D119" s="2"/>
      <c r="E119" s="242"/>
      <c r="F119" s="2"/>
      <c r="G119" s="2"/>
    </row>
    <row r="120" spans="1:7" s="12" customFormat="1">
      <c r="A120" s="24"/>
      <c r="C120" s="256"/>
      <c r="D120" s="2"/>
      <c r="E120" s="242"/>
      <c r="F120" s="2"/>
      <c r="G120" s="2"/>
    </row>
    <row r="121" spans="1:7" s="12" customFormat="1">
      <c r="A121" s="24"/>
      <c r="C121" s="256"/>
      <c r="D121" s="2"/>
      <c r="E121" s="242"/>
      <c r="F121" s="2"/>
      <c r="G121" s="2"/>
    </row>
    <row r="122" spans="1:7" s="12" customFormat="1">
      <c r="A122" s="24"/>
      <c r="C122" s="256"/>
      <c r="D122" s="2"/>
      <c r="E122" s="242"/>
      <c r="F122" s="2"/>
      <c r="G122" s="2"/>
    </row>
    <row r="123" spans="1:7" s="12" customFormat="1">
      <c r="A123" s="24"/>
      <c r="C123" s="256"/>
      <c r="D123" s="2"/>
      <c r="E123" s="242"/>
      <c r="F123" s="2"/>
      <c r="G123" s="2"/>
    </row>
    <row r="124" spans="1:7" s="12" customFormat="1">
      <c r="A124" s="24"/>
      <c r="C124" s="256"/>
      <c r="D124" s="2"/>
      <c r="E124" s="242"/>
      <c r="F124" s="2"/>
      <c r="G124" s="2"/>
    </row>
    <row r="125" spans="1:7" s="12" customFormat="1">
      <c r="A125" s="24"/>
      <c r="C125" s="256"/>
      <c r="D125" s="2"/>
      <c r="E125" s="242"/>
      <c r="F125" s="2"/>
      <c r="G125" s="2"/>
    </row>
    <row r="126" spans="1:7" s="12" customFormat="1">
      <c r="A126" s="24"/>
      <c r="C126" s="256"/>
      <c r="D126" s="2"/>
      <c r="E126" s="242"/>
      <c r="F126" s="2"/>
      <c r="G126" s="2"/>
    </row>
    <row r="127" spans="1:7" s="12" customFormat="1">
      <c r="A127" s="24"/>
      <c r="C127" s="256"/>
      <c r="D127" s="2"/>
      <c r="E127" s="242"/>
      <c r="F127" s="2"/>
      <c r="G127" s="2"/>
    </row>
    <row r="128" spans="1:7" s="12" customFormat="1">
      <c r="A128" s="24"/>
      <c r="C128" s="256"/>
      <c r="D128" s="2"/>
      <c r="E128" s="242"/>
      <c r="F128" s="2"/>
      <c r="G128" s="2"/>
    </row>
    <row r="129" spans="1:7" s="12" customFormat="1">
      <c r="A129" s="24"/>
      <c r="C129" s="256"/>
      <c r="D129" s="2"/>
      <c r="E129" s="242"/>
      <c r="F129" s="2"/>
      <c r="G129" s="2"/>
    </row>
    <row r="130" spans="1:7" s="12" customFormat="1">
      <c r="A130" s="24"/>
      <c r="C130" s="256"/>
      <c r="D130" s="2"/>
      <c r="E130" s="242"/>
      <c r="F130" s="2"/>
      <c r="G130" s="2"/>
    </row>
    <row r="131" spans="1:7" s="12" customFormat="1">
      <c r="A131" s="24"/>
      <c r="C131" s="256"/>
      <c r="D131" s="2"/>
      <c r="E131" s="242"/>
      <c r="F131" s="2"/>
      <c r="G131" s="2"/>
    </row>
    <row r="132" spans="1:7" s="12" customFormat="1">
      <c r="A132" s="24"/>
      <c r="C132" s="256"/>
      <c r="D132" s="2"/>
      <c r="E132" s="242"/>
      <c r="F132" s="2"/>
      <c r="G132" s="2"/>
    </row>
    <row r="133" spans="1:7" s="12" customFormat="1">
      <c r="A133" s="24"/>
      <c r="C133" s="256"/>
      <c r="D133" s="2"/>
      <c r="E133" s="242"/>
      <c r="F133" s="2"/>
      <c r="G133" s="2"/>
    </row>
    <row r="134" spans="1:7" s="12" customFormat="1">
      <c r="A134" s="24"/>
      <c r="C134" s="256"/>
      <c r="D134" s="2"/>
      <c r="E134" s="242"/>
      <c r="F134" s="2"/>
      <c r="G134" s="2"/>
    </row>
    <row r="135" spans="1:7" s="12" customFormat="1">
      <c r="A135" s="24"/>
      <c r="C135" s="256"/>
      <c r="D135" s="2"/>
      <c r="E135" s="242"/>
      <c r="F135" s="2"/>
      <c r="G135" s="2"/>
    </row>
    <row r="136" spans="1:7" s="12" customFormat="1">
      <c r="A136" s="24"/>
      <c r="C136" s="256"/>
      <c r="D136" s="2"/>
      <c r="E136" s="242"/>
      <c r="F136" s="2"/>
      <c r="G136" s="2"/>
    </row>
    <row r="137" spans="1:7" s="12" customFormat="1">
      <c r="A137" s="24"/>
      <c r="C137" s="256"/>
      <c r="D137" s="2"/>
      <c r="E137" s="242"/>
      <c r="F137" s="2"/>
      <c r="G137" s="2"/>
    </row>
    <row r="138" spans="1:7" s="12" customFormat="1">
      <c r="A138" s="24"/>
      <c r="C138" s="256"/>
      <c r="D138" s="2"/>
      <c r="E138" s="242"/>
      <c r="F138" s="2"/>
      <c r="G138" s="2"/>
    </row>
    <row r="139" spans="1:7" s="12" customFormat="1">
      <c r="A139" s="24"/>
      <c r="C139" s="256"/>
      <c r="D139" s="2"/>
      <c r="E139" s="242"/>
      <c r="F139" s="2"/>
      <c r="G139" s="2"/>
    </row>
    <row r="140" spans="1:7" s="12" customFormat="1">
      <c r="A140" s="24"/>
      <c r="C140" s="256"/>
      <c r="D140" s="2"/>
      <c r="E140" s="242"/>
      <c r="F140" s="2"/>
      <c r="G140" s="2"/>
    </row>
    <row r="141" spans="1:7" s="12" customFormat="1">
      <c r="A141" s="24"/>
      <c r="C141" s="256"/>
      <c r="D141" s="2"/>
      <c r="E141" s="242"/>
      <c r="F141" s="2"/>
      <c r="G141" s="2"/>
    </row>
    <row r="142" spans="1:7" s="12" customFormat="1">
      <c r="A142" s="24"/>
      <c r="C142" s="256"/>
      <c r="D142" s="2"/>
      <c r="E142" s="242"/>
      <c r="F142" s="2"/>
      <c r="G142" s="2"/>
    </row>
    <row r="143" spans="1:7" s="12" customFormat="1">
      <c r="A143" s="24"/>
      <c r="C143" s="256"/>
      <c r="D143" s="2"/>
      <c r="E143" s="242"/>
      <c r="F143" s="2"/>
      <c r="G143" s="2"/>
    </row>
    <row r="144" spans="1:7" s="12" customFormat="1">
      <c r="A144" s="24"/>
      <c r="C144" s="256"/>
      <c r="D144" s="2"/>
      <c r="E144" s="242"/>
      <c r="F144" s="2"/>
      <c r="G144" s="2"/>
    </row>
    <row r="145" spans="1:7" s="12" customFormat="1">
      <c r="A145" s="24"/>
      <c r="C145" s="256"/>
      <c r="D145" s="2"/>
      <c r="E145" s="242"/>
      <c r="F145" s="2"/>
      <c r="G145" s="2"/>
    </row>
    <row r="146" spans="1:7" s="12" customFormat="1">
      <c r="A146" s="24"/>
      <c r="C146" s="256"/>
      <c r="D146" s="2"/>
      <c r="E146" s="242"/>
      <c r="F146" s="2"/>
      <c r="G146" s="2"/>
    </row>
    <row r="147" spans="1:7" s="12" customFormat="1">
      <c r="A147" s="24"/>
      <c r="C147" s="256"/>
      <c r="D147" s="2"/>
      <c r="E147" s="242"/>
      <c r="F147" s="2"/>
      <c r="G147" s="2"/>
    </row>
    <row r="148" spans="1:7" s="12" customFormat="1">
      <c r="A148" s="24"/>
      <c r="C148" s="256"/>
      <c r="D148" s="2"/>
      <c r="E148" s="242"/>
      <c r="F148" s="2"/>
      <c r="G148" s="2"/>
    </row>
    <row r="149" spans="1:7" s="12" customFormat="1">
      <c r="A149" s="24"/>
      <c r="C149" s="256"/>
      <c r="D149" s="2"/>
      <c r="E149" s="242"/>
      <c r="F149" s="2"/>
      <c r="G149" s="2"/>
    </row>
    <row r="150" spans="1:7" s="12" customFormat="1">
      <c r="A150" s="24"/>
      <c r="C150" s="256"/>
      <c r="D150" s="2"/>
      <c r="E150" s="242"/>
      <c r="F150" s="2"/>
      <c r="G150" s="2"/>
    </row>
    <row r="151" spans="1:7" s="12" customFormat="1">
      <c r="A151" s="24"/>
      <c r="C151" s="256"/>
      <c r="D151" s="2"/>
      <c r="E151" s="242"/>
      <c r="F151" s="2"/>
      <c r="G151" s="2"/>
    </row>
    <row r="152" spans="1:7" s="12" customFormat="1">
      <c r="A152" s="24"/>
      <c r="C152" s="256"/>
      <c r="D152" s="2"/>
      <c r="E152" s="242"/>
      <c r="F152" s="2"/>
      <c r="G152" s="2"/>
    </row>
    <row r="153" spans="1:7" s="12" customFormat="1">
      <c r="A153" s="24"/>
      <c r="C153" s="256"/>
      <c r="D153" s="2"/>
      <c r="E153" s="242"/>
      <c r="F153" s="2"/>
      <c r="G153" s="2"/>
    </row>
    <row r="154" spans="1:7" s="12" customFormat="1">
      <c r="A154" s="24"/>
      <c r="C154" s="256"/>
      <c r="D154" s="2"/>
      <c r="E154" s="242"/>
      <c r="F154" s="2"/>
      <c r="G154" s="2"/>
    </row>
    <row r="155" spans="1:7" s="12" customFormat="1">
      <c r="A155" s="24"/>
      <c r="C155" s="256"/>
      <c r="D155" s="2"/>
      <c r="E155" s="242"/>
      <c r="F155" s="2"/>
      <c r="G155" s="2"/>
    </row>
    <row r="156" spans="1:7" s="12" customFormat="1">
      <c r="A156" s="24"/>
      <c r="C156" s="256"/>
      <c r="D156" s="2"/>
      <c r="E156" s="242"/>
      <c r="F156" s="2"/>
      <c r="G156" s="2"/>
    </row>
    <row r="157" spans="1:7" s="12" customFormat="1">
      <c r="A157" s="24"/>
      <c r="C157" s="256"/>
      <c r="D157" s="2"/>
      <c r="E157" s="242"/>
      <c r="F157" s="2"/>
      <c r="G157" s="2"/>
    </row>
    <row r="158" spans="1:7" s="12" customFormat="1">
      <c r="A158" s="24"/>
      <c r="C158" s="256"/>
      <c r="D158" s="2"/>
      <c r="E158" s="242"/>
      <c r="F158" s="2"/>
      <c r="G158" s="2"/>
    </row>
    <row r="159" spans="1:7" s="12" customFormat="1">
      <c r="A159" s="24"/>
      <c r="C159" s="256"/>
      <c r="D159" s="2"/>
      <c r="E159" s="242"/>
      <c r="F159" s="2"/>
      <c r="G159" s="2"/>
    </row>
    <row r="160" spans="1:7" s="12" customFormat="1">
      <c r="A160" s="24"/>
      <c r="C160" s="256"/>
      <c r="D160" s="2"/>
      <c r="E160" s="242"/>
      <c r="F160" s="2"/>
      <c r="G160" s="2"/>
    </row>
    <row r="161" spans="1:7" s="12" customFormat="1">
      <c r="A161" s="24"/>
      <c r="C161" s="256"/>
      <c r="D161" s="2"/>
      <c r="E161" s="242"/>
      <c r="F161" s="2"/>
      <c r="G161" s="2"/>
    </row>
    <row r="162" spans="1:7" s="12" customFormat="1">
      <c r="A162" s="24"/>
      <c r="C162" s="256"/>
      <c r="D162" s="2"/>
      <c r="E162" s="242"/>
      <c r="F162" s="2"/>
      <c r="G162" s="2"/>
    </row>
    <row r="163" spans="1:7" s="12" customFormat="1">
      <c r="A163" s="24"/>
      <c r="C163" s="256"/>
      <c r="D163" s="2"/>
      <c r="E163" s="242"/>
      <c r="F163" s="2"/>
      <c r="G163" s="2"/>
    </row>
    <row r="164" spans="1:7" s="12" customFormat="1">
      <c r="A164" s="24"/>
      <c r="C164" s="256"/>
      <c r="D164" s="2"/>
      <c r="E164" s="242"/>
      <c r="F164" s="2"/>
      <c r="G164" s="2"/>
    </row>
    <row r="165" spans="1:7" s="12" customFormat="1">
      <c r="A165" s="24"/>
      <c r="C165" s="256"/>
      <c r="D165" s="2"/>
      <c r="E165" s="242"/>
      <c r="F165" s="2"/>
      <c r="G165" s="2"/>
    </row>
    <row r="166" spans="1:7" s="12" customFormat="1">
      <c r="A166" s="24"/>
      <c r="C166" s="256"/>
      <c r="D166" s="2"/>
      <c r="E166" s="242"/>
      <c r="F166" s="2"/>
      <c r="G166" s="2"/>
    </row>
    <row r="167" spans="1:7" s="12" customFormat="1">
      <c r="A167" s="24"/>
      <c r="C167" s="256"/>
      <c r="D167" s="2"/>
      <c r="E167" s="242"/>
      <c r="F167" s="2"/>
      <c r="G167" s="2"/>
    </row>
    <row r="168" spans="1:7" s="12" customFormat="1">
      <c r="A168" s="24"/>
      <c r="C168" s="256"/>
      <c r="D168" s="2"/>
      <c r="E168" s="242"/>
      <c r="F168" s="2"/>
      <c r="G168" s="2"/>
    </row>
    <row r="169" spans="1:7" s="12" customFormat="1">
      <c r="A169" s="24"/>
      <c r="C169" s="256"/>
      <c r="D169" s="2"/>
      <c r="E169" s="242"/>
      <c r="F169" s="2"/>
      <c r="G169" s="2"/>
    </row>
    <row r="170" spans="1:7" s="12" customFormat="1">
      <c r="A170" s="24"/>
      <c r="C170" s="256"/>
      <c r="D170" s="2"/>
      <c r="E170" s="242"/>
      <c r="F170" s="2"/>
      <c r="G170" s="2"/>
    </row>
    <row r="171" spans="1:7" s="12" customFormat="1">
      <c r="A171" s="24"/>
      <c r="C171" s="256"/>
      <c r="D171" s="2"/>
      <c r="E171" s="242"/>
      <c r="F171" s="2"/>
      <c r="G171" s="2"/>
    </row>
    <row r="172" spans="1:7" s="12" customFormat="1">
      <c r="A172" s="24"/>
      <c r="C172" s="256"/>
      <c r="D172" s="2"/>
      <c r="E172" s="242"/>
      <c r="F172" s="2"/>
      <c r="G172" s="2"/>
    </row>
    <row r="173" spans="1:7" s="12" customFormat="1">
      <c r="A173" s="24"/>
      <c r="C173" s="256"/>
      <c r="D173" s="2"/>
      <c r="E173" s="242"/>
      <c r="F173" s="2"/>
      <c r="G173" s="2"/>
    </row>
    <row r="174" spans="1:7" s="12" customFormat="1">
      <c r="A174" s="24"/>
      <c r="C174" s="256"/>
      <c r="D174" s="2"/>
      <c r="E174" s="242"/>
      <c r="F174" s="2"/>
      <c r="G174" s="2"/>
    </row>
    <row r="175" spans="1:7" s="12" customFormat="1">
      <c r="A175" s="24"/>
      <c r="C175" s="256"/>
      <c r="D175" s="2"/>
      <c r="E175" s="242"/>
      <c r="F175" s="2"/>
      <c r="G175" s="2"/>
    </row>
    <row r="176" spans="1:7" s="12" customFormat="1">
      <c r="A176" s="24"/>
      <c r="C176" s="256"/>
      <c r="D176" s="2"/>
      <c r="E176" s="242"/>
      <c r="F176" s="2"/>
      <c r="G176" s="2"/>
    </row>
    <row r="177" spans="1:7" s="12" customFormat="1">
      <c r="A177" s="24"/>
      <c r="C177" s="256"/>
      <c r="D177" s="2"/>
      <c r="E177" s="242"/>
      <c r="F177" s="2"/>
      <c r="G177" s="2"/>
    </row>
    <row r="178" spans="1:7" s="12" customFormat="1">
      <c r="A178" s="24"/>
      <c r="C178" s="256"/>
      <c r="D178" s="2"/>
      <c r="E178" s="242"/>
      <c r="F178" s="2"/>
      <c r="G178" s="2"/>
    </row>
    <row r="179" spans="1:7" s="12" customFormat="1">
      <c r="A179" s="24"/>
      <c r="C179" s="256"/>
      <c r="D179" s="2"/>
      <c r="E179" s="242"/>
      <c r="F179" s="2"/>
      <c r="G179" s="2"/>
    </row>
    <row r="180" spans="1:7" s="12" customFormat="1">
      <c r="A180" s="24"/>
      <c r="C180" s="256"/>
      <c r="D180" s="2"/>
      <c r="E180" s="242"/>
      <c r="F180" s="2"/>
      <c r="G180" s="2"/>
    </row>
    <row r="181" spans="1:7" s="12" customFormat="1">
      <c r="A181" s="24"/>
      <c r="C181" s="256"/>
      <c r="D181" s="2"/>
      <c r="E181" s="242"/>
      <c r="F181" s="2"/>
      <c r="G181" s="2"/>
    </row>
    <row r="182" spans="1:7" s="12" customFormat="1">
      <c r="A182" s="24"/>
      <c r="C182" s="256"/>
      <c r="D182" s="2"/>
      <c r="E182" s="242"/>
      <c r="F182" s="2"/>
      <c r="G182" s="2"/>
    </row>
    <row r="183" spans="1:7" s="12" customFormat="1">
      <c r="A183" s="24"/>
      <c r="C183" s="256"/>
      <c r="D183" s="2"/>
      <c r="E183" s="242"/>
      <c r="F183" s="2"/>
      <c r="G183" s="2"/>
    </row>
    <row r="184" spans="1:7" s="12" customFormat="1">
      <c r="A184" s="24"/>
      <c r="C184" s="256"/>
      <c r="D184" s="2"/>
      <c r="E184" s="242"/>
      <c r="F184" s="2"/>
      <c r="G184" s="2"/>
    </row>
    <row r="185" spans="1:7" s="12" customFormat="1">
      <c r="A185" s="24"/>
      <c r="C185" s="256"/>
      <c r="D185" s="2"/>
      <c r="E185" s="242"/>
      <c r="F185" s="2"/>
      <c r="G185" s="2"/>
    </row>
    <row r="186" spans="1:7" s="12" customFormat="1">
      <c r="A186" s="24"/>
      <c r="C186" s="256"/>
      <c r="D186" s="2"/>
      <c r="E186" s="242"/>
      <c r="F186" s="2"/>
      <c r="G186" s="2"/>
    </row>
    <row r="187" spans="1:7" s="12" customFormat="1">
      <c r="A187" s="24"/>
      <c r="C187" s="256"/>
      <c r="D187" s="2"/>
      <c r="E187" s="242"/>
      <c r="F187" s="2"/>
      <c r="G187" s="2"/>
    </row>
    <row r="188" spans="1:7" s="12" customFormat="1">
      <c r="A188" s="24"/>
      <c r="C188" s="256"/>
      <c r="D188" s="2"/>
      <c r="E188" s="242"/>
      <c r="F188" s="2"/>
      <c r="G188" s="2"/>
    </row>
    <row r="189" spans="1:7" s="12" customFormat="1">
      <c r="A189" s="24"/>
      <c r="C189" s="256"/>
      <c r="D189" s="2"/>
      <c r="E189" s="242"/>
      <c r="F189" s="2"/>
      <c r="G189" s="2"/>
    </row>
    <row r="190" spans="1:7" s="12" customFormat="1">
      <c r="A190" s="24"/>
      <c r="C190" s="256"/>
      <c r="D190" s="2"/>
      <c r="E190" s="242"/>
      <c r="F190" s="2"/>
      <c r="G190" s="2"/>
    </row>
    <row r="191" spans="1:7" s="12" customFormat="1">
      <c r="A191" s="24"/>
      <c r="C191" s="256"/>
      <c r="D191" s="2"/>
      <c r="E191" s="242"/>
      <c r="F191" s="2"/>
      <c r="G191" s="2"/>
    </row>
    <row r="192" spans="1:7" s="12" customFormat="1">
      <c r="A192" s="24"/>
      <c r="C192" s="256"/>
      <c r="D192" s="2"/>
      <c r="E192" s="242"/>
      <c r="F192" s="2"/>
      <c r="G192" s="2"/>
    </row>
    <row r="193" spans="1:7" s="12" customFormat="1">
      <c r="A193" s="24"/>
      <c r="C193" s="256"/>
      <c r="D193" s="2"/>
      <c r="E193" s="242"/>
      <c r="F193" s="2"/>
      <c r="G193" s="2"/>
    </row>
    <row r="194" spans="1:7" s="12" customFormat="1">
      <c r="A194" s="24"/>
      <c r="C194" s="256"/>
      <c r="D194" s="2"/>
      <c r="E194" s="242"/>
      <c r="F194" s="2"/>
      <c r="G194" s="2"/>
    </row>
    <row r="195" spans="1:7" s="12" customFormat="1">
      <c r="A195" s="24"/>
      <c r="C195" s="256"/>
      <c r="D195" s="2"/>
      <c r="E195" s="242"/>
      <c r="F195" s="2"/>
      <c r="G195" s="2"/>
    </row>
    <row r="196" spans="1:7" s="12" customFormat="1">
      <c r="A196" s="24"/>
      <c r="C196" s="256"/>
      <c r="D196" s="2"/>
      <c r="E196" s="242"/>
      <c r="F196" s="2"/>
      <c r="G196" s="2"/>
    </row>
    <row r="197" spans="1:7" s="12" customFormat="1">
      <c r="A197" s="24"/>
      <c r="C197" s="256"/>
      <c r="D197" s="2"/>
      <c r="E197" s="242"/>
      <c r="F197" s="2"/>
      <c r="G197" s="2"/>
    </row>
    <row r="198" spans="1:7" s="12" customFormat="1">
      <c r="A198" s="24"/>
      <c r="C198" s="256"/>
      <c r="D198" s="2"/>
      <c r="E198" s="242"/>
      <c r="F198" s="2"/>
      <c r="G198" s="2"/>
    </row>
    <row r="199" spans="1:7" s="12" customFormat="1">
      <c r="A199" s="24"/>
      <c r="C199" s="256"/>
      <c r="D199" s="2"/>
      <c r="E199" s="242"/>
      <c r="F199" s="2"/>
      <c r="G199" s="2"/>
    </row>
    <row r="200" spans="1:7" s="12" customFormat="1">
      <c r="A200" s="24"/>
      <c r="C200" s="256"/>
      <c r="D200" s="2"/>
      <c r="E200" s="242"/>
      <c r="F200" s="2"/>
      <c r="G200" s="2"/>
    </row>
    <row r="201" spans="1:7" s="12" customFormat="1">
      <c r="A201" s="24"/>
      <c r="C201" s="256"/>
      <c r="D201" s="2"/>
      <c r="E201" s="242"/>
      <c r="F201" s="2"/>
      <c r="G201" s="2"/>
    </row>
    <row r="202" spans="1:7" s="12" customFormat="1">
      <c r="A202" s="24"/>
      <c r="C202" s="256"/>
      <c r="D202" s="2"/>
      <c r="E202" s="242"/>
      <c r="F202" s="2"/>
      <c r="G202" s="2"/>
    </row>
    <row r="203" spans="1:7" s="12" customFormat="1">
      <c r="A203" s="24"/>
      <c r="C203" s="256"/>
      <c r="D203" s="2"/>
      <c r="E203" s="242"/>
      <c r="F203" s="2"/>
      <c r="G203" s="2"/>
    </row>
    <row r="204" spans="1:7" s="12" customFormat="1">
      <c r="A204" s="24"/>
      <c r="C204" s="256"/>
      <c r="D204" s="2"/>
      <c r="E204" s="242"/>
      <c r="F204" s="2"/>
      <c r="G204" s="2"/>
    </row>
    <row r="205" spans="1:7" s="12" customFormat="1">
      <c r="A205" s="24"/>
      <c r="C205" s="256"/>
      <c r="D205" s="2"/>
      <c r="E205" s="242"/>
      <c r="F205" s="2"/>
      <c r="G205" s="2"/>
    </row>
    <row r="206" spans="1:7" s="12" customFormat="1">
      <c r="A206" s="24"/>
      <c r="C206" s="256"/>
      <c r="D206" s="2"/>
      <c r="E206" s="242"/>
      <c r="F206" s="2"/>
      <c r="G206" s="2"/>
    </row>
    <row r="207" spans="1:7" s="12" customFormat="1">
      <c r="A207" s="24"/>
      <c r="C207" s="256"/>
      <c r="D207" s="2"/>
      <c r="E207" s="242"/>
      <c r="F207" s="2"/>
      <c r="G207" s="2"/>
    </row>
    <row r="208" spans="1:7" s="12" customFormat="1">
      <c r="A208" s="24"/>
      <c r="C208" s="256"/>
      <c r="D208" s="2"/>
      <c r="E208" s="242"/>
      <c r="F208" s="2"/>
      <c r="G208" s="2"/>
    </row>
    <row r="209" spans="1:7" s="12" customFormat="1">
      <c r="A209" s="24"/>
      <c r="C209" s="256"/>
      <c r="D209" s="2"/>
      <c r="E209" s="242"/>
      <c r="F209" s="2"/>
      <c r="G209" s="2"/>
    </row>
    <row r="210" spans="1:7" s="12" customFormat="1">
      <c r="A210" s="24"/>
      <c r="C210" s="256"/>
      <c r="D210" s="2"/>
      <c r="E210" s="242"/>
      <c r="F210" s="2"/>
      <c r="G210" s="2"/>
    </row>
    <row r="211" spans="1:7" s="12" customFormat="1">
      <c r="A211" s="24"/>
      <c r="C211" s="256"/>
      <c r="D211" s="2"/>
      <c r="E211" s="242"/>
      <c r="F211" s="2"/>
      <c r="G211" s="2"/>
    </row>
    <row r="212" spans="1:7" s="12" customFormat="1">
      <c r="A212" s="24"/>
      <c r="C212" s="256"/>
      <c r="D212" s="2"/>
      <c r="E212" s="242"/>
      <c r="F212" s="2"/>
      <c r="G212" s="2"/>
    </row>
    <row r="213" spans="1:7" s="12" customFormat="1">
      <c r="A213" s="24"/>
      <c r="C213" s="256"/>
      <c r="D213" s="2"/>
      <c r="E213" s="242"/>
      <c r="F213" s="2"/>
      <c r="G213" s="2"/>
    </row>
    <row r="214" spans="1:7" s="12" customFormat="1">
      <c r="A214" s="24"/>
      <c r="C214" s="256"/>
      <c r="D214" s="2"/>
      <c r="E214" s="242"/>
      <c r="F214" s="2"/>
      <c r="G214" s="2"/>
    </row>
    <row r="215" spans="1:7" s="12" customFormat="1">
      <c r="A215" s="24"/>
      <c r="C215" s="256"/>
      <c r="D215" s="2"/>
      <c r="E215" s="242"/>
      <c r="F215" s="2"/>
      <c r="G215" s="2"/>
    </row>
    <row r="216" spans="1:7" s="12" customFormat="1">
      <c r="A216" s="24"/>
      <c r="C216" s="256"/>
      <c r="D216" s="2"/>
      <c r="E216" s="242"/>
      <c r="F216" s="2"/>
      <c r="G216" s="2"/>
    </row>
    <row r="217" spans="1:7" s="12" customFormat="1">
      <c r="A217" s="24"/>
      <c r="C217" s="256"/>
      <c r="D217" s="2"/>
      <c r="E217" s="242"/>
      <c r="F217" s="2"/>
      <c r="G217" s="2"/>
    </row>
    <row r="218" spans="1:7" s="12" customFormat="1">
      <c r="A218" s="24"/>
      <c r="C218" s="256"/>
      <c r="D218" s="2"/>
      <c r="E218" s="242"/>
      <c r="F218" s="2"/>
      <c r="G218" s="2"/>
    </row>
    <row r="219" spans="1:7" s="12" customFormat="1">
      <c r="A219" s="24"/>
      <c r="C219" s="256"/>
      <c r="D219" s="2"/>
      <c r="E219" s="242"/>
      <c r="F219" s="2"/>
      <c r="G219" s="2"/>
    </row>
    <row r="220" spans="1:7" s="12" customFormat="1">
      <c r="A220" s="24"/>
      <c r="C220" s="256"/>
      <c r="D220" s="2"/>
      <c r="E220" s="242"/>
      <c r="F220" s="2"/>
      <c r="G220" s="2"/>
    </row>
    <row r="221" spans="1:7" s="12" customFormat="1">
      <c r="A221" s="24"/>
      <c r="C221" s="256"/>
      <c r="D221" s="2"/>
      <c r="E221" s="242"/>
      <c r="F221" s="2"/>
      <c r="G221" s="2"/>
    </row>
    <row r="222" spans="1:7" s="12" customFormat="1">
      <c r="A222" s="24"/>
      <c r="C222" s="256"/>
      <c r="D222" s="2"/>
      <c r="E222" s="242"/>
      <c r="F222" s="2"/>
      <c r="G222" s="2"/>
    </row>
    <row r="223" spans="1:7" s="12" customFormat="1">
      <c r="A223" s="24"/>
      <c r="C223" s="256"/>
      <c r="D223" s="2"/>
      <c r="E223" s="242"/>
      <c r="F223" s="2"/>
      <c r="G223" s="2"/>
    </row>
    <row r="224" spans="1:7" s="12" customFormat="1">
      <c r="A224" s="24"/>
      <c r="C224" s="256"/>
      <c r="D224" s="2"/>
      <c r="E224" s="242"/>
      <c r="F224" s="2"/>
      <c r="G224" s="2"/>
    </row>
    <row r="225" spans="1:7" s="12" customFormat="1">
      <c r="A225" s="24"/>
      <c r="C225" s="256"/>
      <c r="D225" s="2"/>
      <c r="E225" s="242"/>
      <c r="F225" s="2"/>
      <c r="G225" s="2"/>
    </row>
    <row r="226" spans="1:7" s="12" customFormat="1">
      <c r="A226" s="24"/>
      <c r="C226" s="256"/>
      <c r="D226" s="2"/>
      <c r="E226" s="242"/>
      <c r="F226" s="2"/>
      <c r="G226" s="2"/>
    </row>
    <row r="227" spans="1:7" s="12" customFormat="1">
      <c r="A227" s="24"/>
      <c r="C227" s="256"/>
      <c r="D227" s="2"/>
      <c r="E227" s="242"/>
      <c r="F227" s="2"/>
      <c r="G227" s="2"/>
    </row>
    <row r="228" spans="1:7" s="12" customFormat="1">
      <c r="A228" s="24"/>
      <c r="C228" s="256"/>
      <c r="D228" s="2"/>
      <c r="E228" s="242"/>
      <c r="F228" s="2"/>
      <c r="G228" s="2"/>
    </row>
    <row r="229" spans="1:7" s="12" customFormat="1">
      <c r="A229" s="24"/>
      <c r="C229" s="256"/>
      <c r="D229" s="2"/>
      <c r="E229" s="242"/>
      <c r="F229" s="2"/>
      <c r="G229" s="2"/>
    </row>
    <row r="230" spans="1:7" s="12" customFormat="1">
      <c r="A230" s="24"/>
      <c r="C230" s="256"/>
      <c r="D230" s="2"/>
      <c r="E230" s="242"/>
      <c r="F230" s="2"/>
      <c r="G230" s="2"/>
    </row>
    <row r="231" spans="1:7" s="12" customFormat="1">
      <c r="A231" s="24"/>
      <c r="C231" s="256"/>
      <c r="D231" s="2"/>
      <c r="E231" s="242"/>
      <c r="F231" s="2"/>
      <c r="G231" s="2"/>
    </row>
    <row r="232" spans="1:7" s="12" customFormat="1">
      <c r="A232" s="24"/>
      <c r="C232" s="256"/>
      <c r="D232" s="2"/>
      <c r="E232" s="242"/>
      <c r="F232" s="2"/>
      <c r="G232" s="2"/>
    </row>
    <row r="233" spans="1:7" s="12" customFormat="1">
      <c r="A233" s="24"/>
      <c r="C233" s="256"/>
      <c r="D233" s="2"/>
      <c r="E233" s="242"/>
      <c r="F233" s="2"/>
      <c r="G233" s="2"/>
    </row>
    <row r="234" spans="1:7" s="12" customFormat="1">
      <c r="A234" s="24"/>
      <c r="C234" s="256"/>
      <c r="D234" s="2"/>
      <c r="E234" s="242"/>
      <c r="F234" s="2"/>
      <c r="G234" s="2"/>
    </row>
    <row r="235" spans="1:7" s="12" customFormat="1">
      <c r="A235" s="24"/>
      <c r="C235" s="256"/>
      <c r="D235" s="2"/>
      <c r="E235" s="242"/>
      <c r="F235" s="2"/>
      <c r="G235" s="2"/>
    </row>
    <row r="236" spans="1:7" s="12" customFormat="1">
      <c r="A236" s="24"/>
      <c r="C236" s="256"/>
      <c r="D236" s="2"/>
      <c r="E236" s="242"/>
      <c r="F236" s="2"/>
      <c r="G236" s="2"/>
    </row>
    <row r="237" spans="1:7" s="12" customFormat="1">
      <c r="A237" s="24"/>
      <c r="C237" s="256"/>
      <c r="D237" s="2"/>
      <c r="E237" s="242"/>
      <c r="F237" s="2"/>
      <c r="G237" s="2"/>
    </row>
    <row r="238" spans="1:7" s="12" customFormat="1">
      <c r="A238" s="24"/>
      <c r="C238" s="256"/>
      <c r="D238" s="2"/>
      <c r="E238" s="242"/>
      <c r="F238" s="2"/>
      <c r="G238" s="2"/>
    </row>
    <row r="239" spans="1:7" s="12" customFormat="1">
      <c r="A239" s="24"/>
      <c r="C239" s="256"/>
      <c r="D239" s="2"/>
      <c r="E239" s="242"/>
      <c r="F239" s="2"/>
      <c r="G239" s="2"/>
    </row>
    <row r="240" spans="1:7" s="12" customFormat="1">
      <c r="A240" s="24"/>
      <c r="C240" s="256"/>
      <c r="D240" s="2"/>
      <c r="E240" s="242"/>
      <c r="F240" s="2"/>
      <c r="G240" s="2"/>
    </row>
    <row r="241" spans="1:7" s="12" customFormat="1">
      <c r="A241" s="24"/>
      <c r="C241" s="256"/>
      <c r="D241" s="2"/>
      <c r="E241" s="242"/>
      <c r="F241" s="2"/>
      <c r="G241" s="2"/>
    </row>
    <row r="242" spans="1:7" s="12" customFormat="1">
      <c r="A242" s="24"/>
      <c r="C242" s="256"/>
      <c r="D242" s="2"/>
      <c r="E242" s="242"/>
      <c r="F242" s="2"/>
      <c r="G242" s="2"/>
    </row>
    <row r="243" spans="1:7" s="12" customFormat="1">
      <c r="A243" s="24"/>
      <c r="C243" s="256"/>
      <c r="D243" s="2"/>
      <c r="E243" s="242"/>
      <c r="F243" s="2"/>
      <c r="G243" s="2"/>
    </row>
    <row r="244" spans="1:7" s="12" customFormat="1">
      <c r="A244" s="24"/>
      <c r="C244" s="256"/>
      <c r="D244" s="2"/>
      <c r="E244" s="242"/>
      <c r="F244" s="2"/>
      <c r="G244" s="2"/>
    </row>
    <row r="245" spans="1:7" s="12" customFormat="1">
      <c r="A245" s="24"/>
      <c r="C245" s="256"/>
      <c r="D245" s="2"/>
      <c r="E245" s="242"/>
      <c r="F245" s="2"/>
      <c r="G245" s="2"/>
    </row>
    <row r="246" spans="1:7" s="12" customFormat="1">
      <c r="A246" s="24"/>
      <c r="C246" s="256"/>
      <c r="D246" s="2"/>
      <c r="E246" s="242"/>
      <c r="F246" s="2"/>
      <c r="G246" s="2"/>
    </row>
    <row r="247" spans="1:7" s="12" customFormat="1">
      <c r="A247" s="24"/>
      <c r="C247" s="256"/>
      <c r="D247" s="2"/>
      <c r="E247" s="242"/>
      <c r="F247" s="2"/>
      <c r="G247" s="2"/>
    </row>
    <row r="248" spans="1:7" s="12" customFormat="1">
      <c r="A248" s="24"/>
      <c r="C248" s="256"/>
      <c r="D248" s="2"/>
      <c r="E248" s="242"/>
      <c r="F248" s="2"/>
      <c r="G248" s="2"/>
    </row>
  </sheetData>
  <sheetProtection formatCells="0" formatColumns="0" formatRows="0"/>
  <mergeCells count="29">
    <mergeCell ref="A65:G65"/>
    <mergeCell ref="A45:G45"/>
    <mergeCell ref="A52:G52"/>
    <mergeCell ref="A24:G24"/>
    <mergeCell ref="A15:B15"/>
    <mergeCell ref="A21:G21"/>
    <mergeCell ref="A26:A27"/>
    <mergeCell ref="B26:B27"/>
    <mergeCell ref="E2:G5"/>
    <mergeCell ref="B12:D12"/>
    <mergeCell ref="B16:G16"/>
    <mergeCell ref="A29:G29"/>
    <mergeCell ref="A61:G61"/>
    <mergeCell ref="A59:G59"/>
    <mergeCell ref="D26:G26"/>
    <mergeCell ref="A20:G20"/>
    <mergeCell ref="A22:G22"/>
    <mergeCell ref="A23:G23"/>
    <mergeCell ref="C26:C27"/>
    <mergeCell ref="B8:D8"/>
    <mergeCell ref="B7:D7"/>
    <mergeCell ref="B9:D9"/>
    <mergeCell ref="B18:G18"/>
    <mergeCell ref="D14:F14"/>
    <mergeCell ref="A13:B13"/>
    <mergeCell ref="D13:F13"/>
    <mergeCell ref="B10:D10"/>
    <mergeCell ref="B11:D11"/>
    <mergeCell ref="B14:C14"/>
  </mergeCells>
  <phoneticPr fontId="4" type="noConversion"/>
  <pageMargins left="0.78740157480314965" right="0.2" top="0.64" bottom="0.65" header="0.26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3399FF"/>
    <pageSetUpPr fitToPage="1"/>
  </sheetPr>
  <dimension ref="A1:I393"/>
  <sheetViews>
    <sheetView zoomScale="70" zoomScaleNormal="70" zoomScaleSheetLayoutView="85" workbookViewId="0">
      <pane xSplit="2" ySplit="6" topLeftCell="C166" activePane="bottomRight" state="frozen"/>
      <selection pane="topRight" activeCell="C1" sqref="C1"/>
      <selection pane="bottomLeft" activeCell="A7" sqref="A7"/>
      <selection pane="bottomRight" activeCell="E29" sqref="E29:E37"/>
    </sheetView>
  </sheetViews>
  <sheetFormatPr defaultRowHeight="18.75"/>
  <cols>
    <col min="1" max="1" width="56.85546875" style="2" customWidth="1"/>
    <col min="2" max="2" width="14.85546875" style="12" customWidth="1"/>
    <col min="3" max="3" width="19.5703125" style="256" customWidth="1"/>
    <col min="4" max="4" width="20" style="242" customWidth="1"/>
    <col min="5" max="5" width="19.28515625" style="242" customWidth="1"/>
    <col min="6" max="6" width="17.28515625" style="2" customWidth="1"/>
    <col min="7" max="7" width="18.7109375" style="2" customWidth="1"/>
    <col min="8" max="8" width="21" style="2" customWidth="1"/>
    <col min="9" max="16384" width="9.140625" style="2"/>
  </cols>
  <sheetData>
    <row r="1" spans="1:8">
      <c r="A1" s="373" t="s">
        <v>250</v>
      </c>
      <c r="B1" s="373"/>
      <c r="C1" s="373"/>
      <c r="D1" s="373"/>
      <c r="E1" s="373"/>
      <c r="F1" s="373"/>
      <c r="G1" s="373"/>
      <c r="H1" s="373"/>
    </row>
    <row r="2" spans="1:8">
      <c r="A2" s="18"/>
      <c r="B2" s="26"/>
      <c r="C2" s="322"/>
      <c r="D2" s="322"/>
      <c r="E2" s="306"/>
      <c r="F2" s="18"/>
      <c r="G2" s="18"/>
    </row>
    <row r="3" spans="1:8" ht="36" customHeight="1">
      <c r="A3" s="378" t="s">
        <v>201</v>
      </c>
      <c r="B3" s="374" t="s">
        <v>18</v>
      </c>
      <c r="C3" s="379" t="s">
        <v>592</v>
      </c>
      <c r="D3" s="374" t="s">
        <v>609</v>
      </c>
      <c r="E3" s="374"/>
      <c r="F3" s="374"/>
      <c r="G3" s="374"/>
      <c r="H3" s="374" t="s">
        <v>193</v>
      </c>
    </row>
    <row r="4" spans="1:8" ht="75.75" customHeight="1">
      <c r="A4" s="378"/>
      <c r="B4" s="374"/>
      <c r="C4" s="379"/>
      <c r="D4" s="169" t="s">
        <v>463</v>
      </c>
      <c r="E4" s="148" t="s">
        <v>590</v>
      </c>
      <c r="F4" s="184" t="s">
        <v>468</v>
      </c>
      <c r="G4" s="184" t="s">
        <v>466</v>
      </c>
      <c r="H4" s="374"/>
    </row>
    <row r="5" spans="1:8" ht="18" customHeight="1">
      <c r="A5" s="85">
        <v>1</v>
      </c>
      <c r="B5" s="84">
        <v>2</v>
      </c>
      <c r="C5" s="323">
        <v>3</v>
      </c>
      <c r="D5" s="323">
        <v>4</v>
      </c>
      <c r="E5" s="307"/>
      <c r="F5" s="84">
        <v>6</v>
      </c>
      <c r="G5" s="84">
        <v>7</v>
      </c>
      <c r="H5" s="84">
        <v>8</v>
      </c>
    </row>
    <row r="6" spans="1:8" s="3" customFormat="1" ht="20.100000000000001" customHeight="1">
      <c r="A6" s="375" t="s">
        <v>207</v>
      </c>
      <c r="B6" s="376"/>
      <c r="C6" s="376"/>
      <c r="D6" s="376"/>
      <c r="E6" s="376"/>
      <c r="F6" s="376"/>
      <c r="G6" s="376"/>
      <c r="H6" s="377"/>
    </row>
    <row r="7" spans="1:8" s="3" customFormat="1" ht="54" customHeight="1">
      <c r="A7" s="185" t="s">
        <v>89</v>
      </c>
      <c r="B7" s="186">
        <v>1000</v>
      </c>
      <c r="C7" s="340">
        <f>SUM(C8:C8)</f>
        <v>15803</v>
      </c>
      <c r="D7" s="340">
        <f>SUM(D8:D8)</f>
        <v>21120</v>
      </c>
      <c r="E7" s="340">
        <f>SUM(E8:E8)</f>
        <v>13179</v>
      </c>
      <c r="F7" s="264">
        <f t="shared" ref="F7:F43" si="0">E7-D7</f>
        <v>-7941</v>
      </c>
      <c r="G7" s="234">
        <f t="shared" ref="G7:G43" si="1">E7/D7*100</f>
        <v>62.400568181818187</v>
      </c>
      <c r="H7" s="235"/>
    </row>
    <row r="8" spans="1:8" s="114" customFormat="1" ht="49.5" customHeight="1">
      <c r="A8" s="189" t="s">
        <v>451</v>
      </c>
      <c r="B8" s="190" t="s">
        <v>450</v>
      </c>
      <c r="C8" s="223">
        <v>15803</v>
      </c>
      <c r="D8" s="223">
        <v>21120</v>
      </c>
      <c r="E8" s="223">
        <v>13179</v>
      </c>
      <c r="F8" s="265">
        <f t="shared" si="0"/>
        <v>-7941</v>
      </c>
      <c r="G8" s="191">
        <f t="shared" si="1"/>
        <v>62.400568181818187</v>
      </c>
      <c r="H8" s="189" t="s">
        <v>432</v>
      </c>
    </row>
    <row r="9" spans="1:8" s="3" customFormat="1" ht="37.5">
      <c r="A9" s="185" t="s">
        <v>107</v>
      </c>
      <c r="B9" s="186">
        <v>1010</v>
      </c>
      <c r="C9" s="233">
        <f>SUM(C10:C18)</f>
        <v>136518</v>
      </c>
      <c r="D9" s="233">
        <f>SUM(D10:D18)</f>
        <v>174054</v>
      </c>
      <c r="E9" s="233">
        <f>SUM(E10:E18)</f>
        <v>157979</v>
      </c>
      <c r="F9" s="264">
        <f t="shared" si="0"/>
        <v>-16075</v>
      </c>
      <c r="G9" s="234">
        <f t="shared" si="1"/>
        <v>90.764360485826231</v>
      </c>
      <c r="H9" s="237"/>
    </row>
    <row r="10" spans="1:8" s="116" customFormat="1" ht="37.5">
      <c r="A10" s="192" t="s">
        <v>435</v>
      </c>
      <c r="B10" s="84">
        <v>1011</v>
      </c>
      <c r="C10" s="223">
        <v>8708</v>
      </c>
      <c r="D10" s="327">
        <v>8965</v>
      </c>
      <c r="E10" s="223">
        <f>3395-2639+2798</f>
        <v>3554</v>
      </c>
      <c r="F10" s="265">
        <f t="shared" si="0"/>
        <v>-5411</v>
      </c>
      <c r="G10" s="191">
        <f t="shared" si="1"/>
        <v>39.643056330172897</v>
      </c>
      <c r="H10" s="147"/>
    </row>
    <row r="11" spans="1:8" ht="50.25" customHeight="1">
      <c r="A11" s="192" t="s">
        <v>61</v>
      </c>
      <c r="B11" s="84">
        <v>1012</v>
      </c>
      <c r="C11" s="223">
        <v>532</v>
      </c>
      <c r="D11" s="223">
        <v>505</v>
      </c>
      <c r="E11" s="223">
        <v>671</v>
      </c>
      <c r="F11" s="265">
        <f t="shared" si="0"/>
        <v>166</v>
      </c>
      <c r="G11" s="191">
        <f t="shared" si="1"/>
        <v>132.87128712871288</v>
      </c>
      <c r="H11" s="192" t="s">
        <v>359</v>
      </c>
    </row>
    <row r="12" spans="1:8" s="1" customFormat="1" ht="25.5" customHeight="1">
      <c r="A12" s="192" t="s">
        <v>60</v>
      </c>
      <c r="B12" s="84">
        <v>1013</v>
      </c>
      <c r="C12" s="223">
        <v>26740</v>
      </c>
      <c r="D12" s="327">
        <v>44398</v>
      </c>
      <c r="E12" s="223">
        <v>41151</v>
      </c>
      <c r="F12" s="265">
        <f t="shared" si="0"/>
        <v>-3247</v>
      </c>
      <c r="G12" s="191">
        <f t="shared" si="1"/>
        <v>92.686607504842556</v>
      </c>
      <c r="H12" s="81" t="s">
        <v>360</v>
      </c>
    </row>
    <row r="13" spans="1:8" s="1" customFormat="1" ht="29.25" customHeight="1">
      <c r="A13" s="192" t="s">
        <v>38</v>
      </c>
      <c r="B13" s="229">
        <v>1014</v>
      </c>
      <c r="C13" s="223">
        <v>72353</v>
      </c>
      <c r="D13" s="223">
        <v>84954</v>
      </c>
      <c r="E13" s="223">
        <v>82212</v>
      </c>
      <c r="F13" s="265">
        <f t="shared" si="0"/>
        <v>-2742</v>
      </c>
      <c r="G13" s="191">
        <f t="shared" si="1"/>
        <v>96.77237093015043</v>
      </c>
      <c r="H13" s="192" t="s">
        <v>427</v>
      </c>
    </row>
    <row r="14" spans="1:8" s="1" customFormat="1" ht="20.100000000000001" customHeight="1">
      <c r="A14" s="192" t="s">
        <v>39</v>
      </c>
      <c r="B14" s="84">
        <v>1015</v>
      </c>
      <c r="C14" s="223">
        <v>14079</v>
      </c>
      <c r="D14" s="223">
        <v>18194</v>
      </c>
      <c r="E14" s="223">
        <v>15957</v>
      </c>
      <c r="F14" s="265">
        <f t="shared" si="0"/>
        <v>-2237</v>
      </c>
      <c r="G14" s="191">
        <f t="shared" si="1"/>
        <v>87.704737825656807</v>
      </c>
      <c r="H14" s="81" t="s">
        <v>360</v>
      </c>
    </row>
    <row r="15" spans="1:8" s="1" customFormat="1" ht="35.25" customHeight="1">
      <c r="A15" s="192" t="s">
        <v>368</v>
      </c>
      <c r="B15" s="84">
        <v>1016</v>
      </c>
      <c r="C15" s="223">
        <v>6003</v>
      </c>
      <c r="D15" s="223">
        <v>5026</v>
      </c>
      <c r="E15" s="223">
        <f>2377-11</f>
        <v>2366</v>
      </c>
      <c r="F15" s="265">
        <f t="shared" si="0"/>
        <v>-2660</v>
      </c>
      <c r="G15" s="191">
        <f t="shared" si="1"/>
        <v>47.075208913649021</v>
      </c>
      <c r="H15" s="192" t="s">
        <v>361</v>
      </c>
    </row>
    <row r="16" spans="1:8" s="1" customFormat="1" ht="35.25" customHeight="1">
      <c r="A16" s="192" t="s">
        <v>59</v>
      </c>
      <c r="B16" s="84">
        <v>1017</v>
      </c>
      <c r="C16" s="223">
        <v>6129</v>
      </c>
      <c r="D16" s="223">
        <v>7167</v>
      </c>
      <c r="E16" s="223">
        <v>8577</v>
      </c>
      <c r="F16" s="265">
        <f t="shared" si="0"/>
        <v>1410</v>
      </c>
      <c r="G16" s="191">
        <f t="shared" si="1"/>
        <v>119.67350355797404</v>
      </c>
      <c r="H16" s="192" t="s">
        <v>444</v>
      </c>
    </row>
    <row r="17" spans="1:8" s="1" customFormat="1" ht="35.25" customHeight="1">
      <c r="A17" s="247" t="s">
        <v>594</v>
      </c>
      <c r="B17" s="286">
        <v>1018</v>
      </c>
      <c r="C17" s="223"/>
      <c r="D17" s="223">
        <v>2000</v>
      </c>
      <c r="E17" s="223">
        <v>897</v>
      </c>
      <c r="F17" s="265">
        <f t="shared" si="0"/>
        <v>-1103</v>
      </c>
      <c r="G17" s="191">
        <f t="shared" si="1"/>
        <v>44.85</v>
      </c>
      <c r="H17" s="192"/>
    </row>
    <row r="18" spans="1:8" s="1" customFormat="1" ht="30.75" customHeight="1">
      <c r="A18" s="192" t="s">
        <v>105</v>
      </c>
      <c r="B18" s="84">
        <v>1019</v>
      </c>
      <c r="C18" s="223">
        <f t="shared" ref="C18" si="2">SUM(C19:C20)</f>
        <v>1974</v>
      </c>
      <c r="D18" s="223">
        <f>D19+D20</f>
        <v>2845</v>
      </c>
      <c r="E18" s="223">
        <f>SUM(E19:E20)</f>
        <v>2594</v>
      </c>
      <c r="F18" s="265">
        <f t="shared" si="0"/>
        <v>-251</v>
      </c>
      <c r="G18" s="191">
        <f t="shared" si="1"/>
        <v>91.177504393673118</v>
      </c>
      <c r="H18" s="192"/>
    </row>
    <row r="19" spans="1:8" s="1" customFormat="1">
      <c r="A19" s="192" t="s">
        <v>270</v>
      </c>
      <c r="B19" s="210" t="s">
        <v>595</v>
      </c>
      <c r="C19" s="223">
        <v>280</v>
      </c>
      <c r="D19" s="223">
        <v>322</v>
      </c>
      <c r="E19" s="223">
        <v>259</v>
      </c>
      <c r="F19" s="265">
        <f t="shared" si="0"/>
        <v>-63</v>
      </c>
      <c r="G19" s="191">
        <f t="shared" si="1"/>
        <v>80.434782608695656</v>
      </c>
      <c r="H19" s="192"/>
    </row>
    <row r="20" spans="1:8" s="1" customFormat="1" ht="164.25" customHeight="1">
      <c r="A20" s="240" t="s">
        <v>566</v>
      </c>
      <c r="B20" s="210" t="s">
        <v>596</v>
      </c>
      <c r="C20" s="223">
        <f>1608+50+34+2</f>
        <v>1694</v>
      </c>
      <c r="D20" s="223">
        <v>2523</v>
      </c>
      <c r="E20" s="223">
        <f>853+1522-40</f>
        <v>2335</v>
      </c>
      <c r="F20" s="265">
        <f t="shared" si="0"/>
        <v>-188</v>
      </c>
      <c r="G20" s="191">
        <f t="shared" si="1"/>
        <v>92.548553309552119</v>
      </c>
      <c r="H20" s="189" t="s">
        <v>359</v>
      </c>
    </row>
    <row r="21" spans="1:8" s="1" customFormat="1" ht="20.100000000000001" customHeight="1">
      <c r="A21" s="193" t="s">
        <v>23</v>
      </c>
      <c r="B21" s="186">
        <v>1020</v>
      </c>
      <c r="C21" s="233">
        <f>C7-C9</f>
        <v>-120715</v>
      </c>
      <c r="D21" s="233">
        <f>D7-D9</f>
        <v>-152934</v>
      </c>
      <c r="E21" s="233">
        <f>E7-E9</f>
        <v>-144800</v>
      </c>
      <c r="F21" s="264">
        <f t="shared" si="0"/>
        <v>8134</v>
      </c>
      <c r="G21" s="234">
        <f t="shared" si="1"/>
        <v>94.681365817934534</v>
      </c>
      <c r="H21" s="235"/>
    </row>
    <row r="22" spans="1:8" s="126" customFormat="1" ht="38.25" customHeight="1">
      <c r="A22" s="185" t="s">
        <v>177</v>
      </c>
      <c r="B22" s="186">
        <v>1030</v>
      </c>
      <c r="C22" s="340">
        <f>C23+C24+C27+C28+C29+C30+C38+C39+C43+C40+C41</f>
        <v>147457</v>
      </c>
      <c r="D22" s="340">
        <f>D23+D24+D27+D28+D29+D30+D37+D38+D40</f>
        <v>189728</v>
      </c>
      <c r="E22" s="340">
        <f>E23+E24+E27+E28+E29+E30+E38+E39+E43+E40+E41+E42</f>
        <v>180110</v>
      </c>
      <c r="F22" s="264">
        <f t="shared" si="0"/>
        <v>-9618</v>
      </c>
      <c r="G22" s="234">
        <f t="shared" si="1"/>
        <v>94.930637544273907</v>
      </c>
      <c r="H22" s="237"/>
    </row>
    <row r="23" spans="1:8" s="1" customFormat="1" ht="37.5" customHeight="1">
      <c r="A23" s="192" t="s">
        <v>276</v>
      </c>
      <c r="B23" s="85" t="s">
        <v>266</v>
      </c>
      <c r="C23" s="223">
        <v>485</v>
      </c>
      <c r="D23" s="223">
        <v>250</v>
      </c>
      <c r="E23" s="223">
        <f>62+8</f>
        <v>70</v>
      </c>
      <c r="F23" s="265">
        <f t="shared" si="0"/>
        <v>-180</v>
      </c>
      <c r="G23" s="191">
        <f t="shared" si="1"/>
        <v>28.000000000000004</v>
      </c>
      <c r="H23" s="192"/>
    </row>
    <row r="24" spans="1:8" s="3" customFormat="1" ht="38.25" customHeight="1">
      <c r="A24" s="192" t="s">
        <v>508</v>
      </c>
      <c r="B24" s="85" t="s">
        <v>271</v>
      </c>
      <c r="C24" s="223">
        <f t="shared" ref="C24" si="3">C25+C26</f>
        <v>509</v>
      </c>
      <c r="D24" s="223">
        <f t="shared" ref="D24" si="4">D25+D26</f>
        <v>322</v>
      </c>
      <c r="E24" s="223">
        <f>E25+E26</f>
        <v>1220</v>
      </c>
      <c r="F24" s="265">
        <f t="shared" si="0"/>
        <v>898</v>
      </c>
      <c r="G24" s="191">
        <f t="shared" si="1"/>
        <v>378.88198757763973</v>
      </c>
      <c r="H24" s="192"/>
    </row>
    <row r="25" spans="1:8" s="244" customFormat="1" ht="38.25" customHeight="1">
      <c r="A25" s="247" t="s">
        <v>509</v>
      </c>
      <c r="B25" s="243" t="s">
        <v>510</v>
      </c>
      <c r="C25" s="223">
        <v>485</v>
      </c>
      <c r="D25" s="223">
        <v>206</v>
      </c>
      <c r="E25" s="223">
        <v>1107</v>
      </c>
      <c r="F25" s="265">
        <f t="shared" si="0"/>
        <v>901</v>
      </c>
      <c r="G25" s="191">
        <f t="shared" si="1"/>
        <v>537.37864077669894</v>
      </c>
      <c r="H25" s="192"/>
    </row>
    <row r="26" spans="1:8" s="244" customFormat="1" ht="38.25" customHeight="1">
      <c r="A26" s="245" t="s">
        <v>277</v>
      </c>
      <c r="B26" s="243" t="s">
        <v>511</v>
      </c>
      <c r="C26" s="223">
        <v>24</v>
      </c>
      <c r="D26" s="223">
        <v>116</v>
      </c>
      <c r="E26" s="223">
        <v>113</v>
      </c>
      <c r="F26" s="265">
        <f t="shared" si="0"/>
        <v>-3</v>
      </c>
      <c r="G26" s="191">
        <f t="shared" si="1"/>
        <v>97.41379310344827</v>
      </c>
      <c r="H26" s="192"/>
    </row>
    <row r="27" spans="1:8">
      <c r="A27" s="245" t="s">
        <v>512</v>
      </c>
      <c r="B27" s="85" t="s">
        <v>272</v>
      </c>
      <c r="C27" s="327"/>
      <c r="D27" s="223">
        <v>0</v>
      </c>
      <c r="E27" s="223"/>
      <c r="F27" s="265">
        <f t="shared" si="0"/>
        <v>0</v>
      </c>
      <c r="G27" s="191" t="e">
        <f t="shared" si="1"/>
        <v>#DIV/0!</v>
      </c>
      <c r="H27" s="192"/>
    </row>
    <row r="28" spans="1:8" ht="56.25">
      <c r="A28" s="192" t="s">
        <v>380</v>
      </c>
      <c r="B28" s="85" t="s">
        <v>273</v>
      </c>
      <c r="C28" s="327"/>
      <c r="D28" s="223">
        <v>0</v>
      </c>
      <c r="E28" s="223">
        <v>0</v>
      </c>
      <c r="F28" s="265">
        <f t="shared" si="0"/>
        <v>0</v>
      </c>
      <c r="G28" s="191" t="e">
        <f t="shared" si="1"/>
        <v>#DIV/0!</v>
      </c>
      <c r="H28" s="192"/>
    </row>
    <row r="29" spans="1:8" ht="37.5">
      <c r="A29" s="245" t="s">
        <v>513</v>
      </c>
      <c r="B29" s="85" t="s">
        <v>274</v>
      </c>
      <c r="C29" s="223">
        <v>19</v>
      </c>
      <c r="D29" s="223">
        <v>0</v>
      </c>
      <c r="E29" s="223">
        <v>27</v>
      </c>
      <c r="F29" s="265">
        <f t="shared" si="0"/>
        <v>27</v>
      </c>
      <c r="G29" s="191" t="e">
        <f t="shared" si="1"/>
        <v>#DIV/0!</v>
      </c>
      <c r="H29" s="192"/>
    </row>
    <row r="30" spans="1:8" ht="36.75" customHeight="1">
      <c r="A30" s="192" t="s">
        <v>278</v>
      </c>
      <c r="B30" s="85" t="s">
        <v>275</v>
      </c>
      <c r="C30" s="223">
        <f>SUM(C31:C37)</f>
        <v>144943</v>
      </c>
      <c r="D30" s="223">
        <f>SUM(D31:D36)</f>
        <v>187421</v>
      </c>
      <c r="E30" s="223">
        <f>SUM(E31:E37)</f>
        <v>174426</v>
      </c>
      <c r="F30" s="265">
        <f t="shared" si="0"/>
        <v>-12995</v>
      </c>
      <c r="G30" s="191">
        <f t="shared" si="1"/>
        <v>93.066411981581581</v>
      </c>
      <c r="H30" s="192" t="s">
        <v>362</v>
      </c>
    </row>
    <row r="31" spans="1:8">
      <c r="A31" s="192" t="s">
        <v>422</v>
      </c>
      <c r="B31" s="85" t="s">
        <v>424</v>
      </c>
      <c r="C31" s="223">
        <v>128480</v>
      </c>
      <c r="D31" s="223">
        <v>174458</v>
      </c>
      <c r="E31" s="223">
        <v>169288</v>
      </c>
      <c r="F31" s="265">
        <f t="shared" si="0"/>
        <v>-5170</v>
      </c>
      <c r="G31" s="191">
        <f t="shared" si="1"/>
        <v>97.036536014398877</v>
      </c>
      <c r="H31" s="192"/>
    </row>
    <row r="32" spans="1:8">
      <c r="A32" s="192" t="s">
        <v>423</v>
      </c>
      <c r="B32" s="85" t="s">
        <v>425</v>
      </c>
      <c r="C32" s="223">
        <v>13052</v>
      </c>
      <c r="D32" s="223">
        <v>7026</v>
      </c>
      <c r="E32" s="223">
        <v>0</v>
      </c>
      <c r="F32" s="265">
        <f t="shared" si="0"/>
        <v>-7026</v>
      </c>
      <c r="G32" s="191">
        <f t="shared" si="1"/>
        <v>0</v>
      </c>
      <c r="H32" s="192"/>
    </row>
    <row r="33" spans="1:8">
      <c r="A33" s="192" t="s">
        <v>582</v>
      </c>
      <c r="B33" s="85" t="s">
        <v>426</v>
      </c>
      <c r="C33" s="223">
        <v>2497</v>
      </c>
      <c r="D33" s="223">
        <v>2646</v>
      </c>
      <c r="E33" s="223">
        <v>2878</v>
      </c>
      <c r="F33" s="265">
        <f t="shared" si="0"/>
        <v>232</v>
      </c>
      <c r="G33" s="191">
        <f t="shared" si="1"/>
        <v>108.76795162509447</v>
      </c>
      <c r="H33" s="192"/>
    </row>
    <row r="34" spans="1:8" s="242" customFormat="1">
      <c r="A34" s="247" t="s">
        <v>597</v>
      </c>
      <c r="B34" s="277" t="s">
        <v>584</v>
      </c>
      <c r="C34" s="223">
        <v>274</v>
      </c>
      <c r="D34" s="223">
        <v>291</v>
      </c>
      <c r="E34" s="223">
        <v>0</v>
      </c>
      <c r="F34" s="265">
        <f t="shared" ref="F34:F36" si="5">E34-D34</f>
        <v>-291</v>
      </c>
      <c r="G34" s="191">
        <f t="shared" ref="G34:G36" si="6">E34/D34*100</f>
        <v>0</v>
      </c>
      <c r="H34" s="192"/>
    </row>
    <row r="35" spans="1:8" s="242" customFormat="1" ht="37.5">
      <c r="A35" s="247" t="s">
        <v>583</v>
      </c>
      <c r="B35" s="277" t="s">
        <v>585</v>
      </c>
      <c r="C35" s="223"/>
      <c r="D35" s="223">
        <v>3000</v>
      </c>
      <c r="E35" s="223">
        <v>2172</v>
      </c>
      <c r="F35" s="265">
        <f t="shared" si="5"/>
        <v>-828</v>
      </c>
      <c r="G35" s="191">
        <f t="shared" si="6"/>
        <v>72.399999999999991</v>
      </c>
      <c r="H35" s="192"/>
    </row>
    <row r="36" spans="1:8" s="242" customFormat="1">
      <c r="A36" s="247" t="s">
        <v>587</v>
      </c>
      <c r="B36" s="277" t="s">
        <v>586</v>
      </c>
      <c r="C36" s="223"/>
      <c r="D36" s="223">
        <v>0</v>
      </c>
      <c r="E36" s="223">
        <v>8</v>
      </c>
      <c r="F36" s="265">
        <f t="shared" si="5"/>
        <v>8</v>
      </c>
      <c r="G36" s="191" t="e">
        <f t="shared" si="6"/>
        <v>#DIV/0!</v>
      </c>
      <c r="H36" s="192"/>
    </row>
    <row r="37" spans="1:8" s="115" customFormat="1">
      <c r="A37" s="192" t="s">
        <v>431</v>
      </c>
      <c r="B37" s="194" t="s">
        <v>617</v>
      </c>
      <c r="C37" s="223">
        <v>640</v>
      </c>
      <c r="D37" s="223">
        <v>720</v>
      </c>
      <c r="E37" s="223">
        <v>80</v>
      </c>
      <c r="F37" s="265">
        <f t="shared" si="0"/>
        <v>-640</v>
      </c>
      <c r="G37" s="191">
        <f t="shared" si="1"/>
        <v>11.111111111111111</v>
      </c>
      <c r="H37" s="192"/>
    </row>
    <row r="38" spans="1:8" s="115" customFormat="1" ht="37.5">
      <c r="A38" s="192" t="s">
        <v>370</v>
      </c>
      <c r="B38" s="85" t="s">
        <v>371</v>
      </c>
      <c r="C38" s="223">
        <v>54</v>
      </c>
      <c r="D38" s="223">
        <v>1015</v>
      </c>
      <c r="E38" s="223">
        <v>3373</v>
      </c>
      <c r="F38" s="265">
        <f t="shared" si="0"/>
        <v>2358</v>
      </c>
      <c r="G38" s="191">
        <f t="shared" si="1"/>
        <v>332.3152709359606</v>
      </c>
      <c r="H38" s="192"/>
    </row>
    <row r="39" spans="1:8" s="115" customFormat="1" ht="54.75" customHeight="1">
      <c r="A39" s="192" t="s">
        <v>514</v>
      </c>
      <c r="B39" s="85" t="s">
        <v>446</v>
      </c>
      <c r="C39" s="223">
        <v>444</v>
      </c>
      <c r="D39" s="223"/>
      <c r="E39" s="223">
        <v>52</v>
      </c>
      <c r="F39" s="265">
        <f t="shared" si="0"/>
        <v>52</v>
      </c>
      <c r="G39" s="191" t="e">
        <f t="shared" si="1"/>
        <v>#DIV/0!</v>
      </c>
      <c r="H39" s="192"/>
    </row>
    <row r="40" spans="1:8" s="242" customFormat="1" ht="54.75" customHeight="1">
      <c r="A40" s="247" t="s">
        <v>600</v>
      </c>
      <c r="B40" s="251" t="s">
        <v>536</v>
      </c>
      <c r="C40" s="223"/>
      <c r="D40" s="223"/>
      <c r="E40" s="223"/>
      <c r="F40" s="265">
        <f t="shared" si="0"/>
        <v>0</v>
      </c>
      <c r="G40" s="191" t="e">
        <f t="shared" si="1"/>
        <v>#DIV/0!</v>
      </c>
      <c r="H40" s="192"/>
    </row>
    <row r="41" spans="1:8" s="242" customFormat="1" ht="54.75" customHeight="1">
      <c r="A41" s="192" t="s">
        <v>322</v>
      </c>
      <c r="B41" s="287" t="s">
        <v>599</v>
      </c>
      <c r="C41" s="223">
        <v>1003</v>
      </c>
      <c r="D41" s="223">
        <v>0</v>
      </c>
      <c r="E41" s="223">
        <v>54</v>
      </c>
      <c r="F41" s="265">
        <f t="shared" ref="F41" si="7">E41-D41</f>
        <v>54</v>
      </c>
      <c r="G41" s="191" t="e">
        <f t="shared" ref="G41" si="8">E41/D41*100</f>
        <v>#DIV/0!</v>
      </c>
      <c r="H41" s="192"/>
    </row>
    <row r="42" spans="1:8" s="242" customFormat="1" ht="54.75" customHeight="1">
      <c r="A42" s="247" t="s">
        <v>601</v>
      </c>
      <c r="B42" s="287" t="s">
        <v>602</v>
      </c>
      <c r="C42" s="223"/>
      <c r="D42" s="223"/>
      <c r="E42" s="223">
        <v>888</v>
      </c>
      <c r="F42" s="265">
        <f t="shared" ref="F42" si="9">E42-D42</f>
        <v>888</v>
      </c>
      <c r="G42" s="191" t="e">
        <f t="shared" ref="G42" si="10">E42/D42*100</f>
        <v>#DIV/0!</v>
      </c>
      <c r="H42" s="192"/>
    </row>
    <row r="43" spans="1:8" s="120" customFormat="1" ht="42" customHeight="1">
      <c r="A43" s="247" t="s">
        <v>598</v>
      </c>
      <c r="B43" s="194">
        <v>1031</v>
      </c>
      <c r="C43" s="223">
        <v>0</v>
      </c>
      <c r="D43" s="223">
        <v>0</v>
      </c>
      <c r="E43" s="223"/>
      <c r="F43" s="265">
        <f t="shared" si="0"/>
        <v>0</v>
      </c>
      <c r="G43" s="191" t="e">
        <f t="shared" si="1"/>
        <v>#DIV/0!</v>
      </c>
      <c r="H43" s="192"/>
    </row>
    <row r="44" spans="1:8" s="93" customFormat="1">
      <c r="A44" s="185" t="s">
        <v>184</v>
      </c>
      <c r="B44" s="186">
        <v>1040</v>
      </c>
      <c r="C44" s="233">
        <f>C45+C52+C53+C54+C55+C56+C57+C58+C59+C60+C61+C62+C63+C64+C65+C66+C67+C68+C69+C70+C76+C77</f>
        <v>25255</v>
      </c>
      <c r="D44" s="233">
        <f>D45+D52+D53+D54+D55+D56+D57+D58+D59+D60+D61+D62+D63+D64+D65+D66+D67+D68+D69+D70+D76+D77</f>
        <v>33411</v>
      </c>
      <c r="E44" s="233">
        <f>E45+E52+E53+E54+E55+E56+E57+E58+E59+E60+E61+E62+E63+E64+E65+E66+E67+E68+E69+E70+E76+E77</f>
        <v>30291</v>
      </c>
      <c r="F44" s="264">
        <f t="shared" ref="F44:F75" si="11">E44-D44</f>
        <v>-3120</v>
      </c>
      <c r="G44" s="234">
        <f t="shared" ref="G44:G75" si="12">E44/D44*100</f>
        <v>90.661758103618567</v>
      </c>
      <c r="H44" s="237"/>
    </row>
    <row r="45" spans="1:8" ht="37.5">
      <c r="A45" s="192" t="s">
        <v>88</v>
      </c>
      <c r="B45" s="194">
        <v>1041</v>
      </c>
      <c r="C45" s="169">
        <f>C46+C47+C48+C49+C50+C51</f>
        <v>542</v>
      </c>
      <c r="D45" s="325">
        <f>D46+D47+D48+D49+D50+D51</f>
        <v>902</v>
      </c>
      <c r="E45" s="308">
        <f>E46+E47+E48+E49+E50+E51</f>
        <v>691</v>
      </c>
      <c r="F45" s="265">
        <f t="shared" si="11"/>
        <v>-211</v>
      </c>
      <c r="G45" s="191">
        <f t="shared" si="12"/>
        <v>76.607538802660756</v>
      </c>
      <c r="H45" s="192" t="s">
        <v>359</v>
      </c>
    </row>
    <row r="46" spans="1:8" ht="39" customHeight="1">
      <c r="A46" s="192" t="s">
        <v>330</v>
      </c>
      <c r="B46" s="85" t="s">
        <v>324</v>
      </c>
      <c r="C46" s="223">
        <v>41</v>
      </c>
      <c r="D46" s="223">
        <v>57</v>
      </c>
      <c r="E46" s="223">
        <f>39+4</f>
        <v>43</v>
      </c>
      <c r="F46" s="265">
        <f t="shared" si="11"/>
        <v>-14</v>
      </c>
      <c r="G46" s="191">
        <f t="shared" si="12"/>
        <v>75.438596491228068</v>
      </c>
      <c r="H46" s="192"/>
    </row>
    <row r="47" spans="1:8" ht="36" customHeight="1">
      <c r="A47" s="192" t="s">
        <v>331</v>
      </c>
      <c r="B47" s="85" t="s">
        <v>325</v>
      </c>
      <c r="C47" s="223">
        <v>95</v>
      </c>
      <c r="D47" s="223">
        <v>260</v>
      </c>
      <c r="E47" s="223">
        <f>69+29</f>
        <v>98</v>
      </c>
      <c r="F47" s="265">
        <f t="shared" si="11"/>
        <v>-162</v>
      </c>
      <c r="G47" s="191">
        <f t="shared" si="12"/>
        <v>37.692307692307693</v>
      </c>
      <c r="H47" s="192"/>
    </row>
    <row r="48" spans="1:8" s="231" customFormat="1" ht="33" customHeight="1">
      <c r="A48" s="192" t="s">
        <v>38</v>
      </c>
      <c r="B48" s="230" t="s">
        <v>326</v>
      </c>
      <c r="C48" s="223">
        <v>314</v>
      </c>
      <c r="D48" s="223">
        <v>458</v>
      </c>
      <c r="E48" s="223">
        <f>296+144</f>
        <v>440</v>
      </c>
      <c r="F48" s="265">
        <f t="shared" si="11"/>
        <v>-18</v>
      </c>
      <c r="G48" s="191">
        <f t="shared" si="12"/>
        <v>96.069868995633186</v>
      </c>
      <c r="H48" s="192"/>
    </row>
    <row r="49" spans="1:8" ht="22.5" customHeight="1">
      <c r="A49" s="192" t="s">
        <v>39</v>
      </c>
      <c r="B49" s="85" t="s">
        <v>327</v>
      </c>
      <c r="C49" s="223">
        <v>72</v>
      </c>
      <c r="D49" s="223">
        <v>101</v>
      </c>
      <c r="E49" s="223">
        <f>66+31</f>
        <v>97</v>
      </c>
      <c r="F49" s="265">
        <f t="shared" si="11"/>
        <v>-4</v>
      </c>
      <c r="G49" s="191">
        <f t="shared" si="12"/>
        <v>96.039603960396036</v>
      </c>
      <c r="H49" s="192"/>
    </row>
    <row r="50" spans="1:8" ht="22.5" customHeight="1">
      <c r="A50" s="192" t="s">
        <v>332</v>
      </c>
      <c r="B50" s="85" t="s">
        <v>328</v>
      </c>
      <c r="C50" s="223">
        <v>4</v>
      </c>
      <c r="D50" s="223">
        <v>3</v>
      </c>
      <c r="E50" s="223">
        <f>2+2</f>
        <v>4</v>
      </c>
      <c r="F50" s="265">
        <f t="shared" si="11"/>
        <v>1</v>
      </c>
      <c r="G50" s="191">
        <f t="shared" si="12"/>
        <v>133.33333333333331</v>
      </c>
      <c r="H50" s="192"/>
    </row>
    <row r="51" spans="1:8" ht="20.25" customHeight="1">
      <c r="A51" s="192" t="s">
        <v>167</v>
      </c>
      <c r="B51" s="85" t="s">
        <v>329</v>
      </c>
      <c r="C51" s="223">
        <f>16</f>
        <v>16</v>
      </c>
      <c r="D51" s="223">
        <v>23</v>
      </c>
      <c r="E51" s="223">
        <f>8+1</f>
        <v>9</v>
      </c>
      <c r="F51" s="265">
        <f t="shared" si="11"/>
        <v>-14</v>
      </c>
      <c r="G51" s="191">
        <f t="shared" si="12"/>
        <v>39.130434782608695</v>
      </c>
      <c r="H51" s="192"/>
    </row>
    <row r="52" spans="1:8" ht="35.25" customHeight="1">
      <c r="A52" s="192" t="s">
        <v>171</v>
      </c>
      <c r="B52" s="194">
        <v>1042</v>
      </c>
      <c r="C52" s="223"/>
      <c r="D52" s="223">
        <v>0</v>
      </c>
      <c r="E52" s="223"/>
      <c r="F52" s="265">
        <f t="shared" si="11"/>
        <v>0</v>
      </c>
      <c r="G52" s="191" t="e">
        <f t="shared" si="12"/>
        <v>#DIV/0!</v>
      </c>
      <c r="H52" s="192"/>
    </row>
    <row r="53" spans="1:8" ht="21" customHeight="1">
      <c r="A53" s="192" t="s">
        <v>58</v>
      </c>
      <c r="B53" s="194">
        <v>1043</v>
      </c>
      <c r="C53" s="223"/>
      <c r="D53" s="223">
        <v>0</v>
      </c>
      <c r="E53" s="223"/>
      <c r="F53" s="265">
        <f t="shared" si="11"/>
        <v>0</v>
      </c>
      <c r="G53" s="191" t="e">
        <f t="shared" si="12"/>
        <v>#DIV/0!</v>
      </c>
      <c r="H53" s="192"/>
    </row>
    <row r="54" spans="1:8" ht="18.75" customHeight="1">
      <c r="A54" s="192" t="s">
        <v>21</v>
      </c>
      <c r="B54" s="194">
        <v>1044</v>
      </c>
      <c r="C54" s="223"/>
      <c r="D54" s="223">
        <v>0</v>
      </c>
      <c r="E54" s="223"/>
      <c r="F54" s="265">
        <f t="shared" si="11"/>
        <v>0</v>
      </c>
      <c r="G54" s="191" t="e">
        <f t="shared" si="12"/>
        <v>#DIV/0!</v>
      </c>
      <c r="H54" s="192"/>
    </row>
    <row r="55" spans="1:8" ht="39" customHeight="1">
      <c r="A55" s="192" t="s">
        <v>22</v>
      </c>
      <c r="B55" s="194">
        <v>1045</v>
      </c>
      <c r="C55" s="223">
        <f>75+271</f>
        <v>346</v>
      </c>
      <c r="D55" s="223">
        <v>291</v>
      </c>
      <c r="E55" s="223">
        <v>0</v>
      </c>
      <c r="F55" s="265">
        <f t="shared" si="11"/>
        <v>-291</v>
      </c>
      <c r="G55" s="191">
        <f t="shared" si="12"/>
        <v>0</v>
      </c>
      <c r="H55" s="192"/>
    </row>
    <row r="56" spans="1:8" ht="20.100000000000001" customHeight="1">
      <c r="A56" s="192" t="s">
        <v>36</v>
      </c>
      <c r="B56" s="194">
        <v>1046</v>
      </c>
      <c r="C56" s="223">
        <f>68-11</f>
        <v>57</v>
      </c>
      <c r="D56" s="223">
        <v>117</v>
      </c>
      <c r="E56" s="223">
        <f>15-4+3-1</f>
        <v>13</v>
      </c>
      <c r="F56" s="265">
        <f t="shared" si="11"/>
        <v>-104</v>
      </c>
      <c r="G56" s="191">
        <f t="shared" si="12"/>
        <v>11.111111111111111</v>
      </c>
      <c r="H56" s="192" t="s">
        <v>364</v>
      </c>
    </row>
    <row r="57" spans="1:8" ht="20.100000000000001" customHeight="1">
      <c r="A57" s="192" t="s">
        <v>37</v>
      </c>
      <c r="B57" s="194">
        <v>1047</v>
      </c>
      <c r="C57" s="223">
        <f>107+1</f>
        <v>108</v>
      </c>
      <c r="D57" s="223">
        <v>120</v>
      </c>
      <c r="E57" s="223">
        <v>120</v>
      </c>
      <c r="F57" s="265">
        <f t="shared" si="11"/>
        <v>0</v>
      </c>
      <c r="G57" s="191">
        <f t="shared" si="12"/>
        <v>100</v>
      </c>
      <c r="H57" s="192" t="s">
        <v>359</v>
      </c>
    </row>
    <row r="58" spans="1:8" s="231" customFormat="1" ht="39" customHeight="1">
      <c r="A58" s="192" t="s">
        <v>38</v>
      </c>
      <c r="B58" s="194">
        <v>1048</v>
      </c>
      <c r="C58" s="223">
        <f>16513+1671-314</f>
        <v>17870</v>
      </c>
      <c r="D58" s="223">
        <v>21257</v>
      </c>
      <c r="E58" s="223">
        <f>20598-440</f>
        <v>20158</v>
      </c>
      <c r="F58" s="265">
        <f t="shared" si="11"/>
        <v>-1099</v>
      </c>
      <c r="G58" s="191">
        <f t="shared" si="12"/>
        <v>94.829938373241745</v>
      </c>
      <c r="H58" s="232" t="s">
        <v>363</v>
      </c>
    </row>
    <row r="59" spans="1:8" s="1" customFormat="1" ht="20.100000000000001" customHeight="1">
      <c r="A59" s="192" t="s">
        <v>39</v>
      </c>
      <c r="B59" s="194">
        <v>1049</v>
      </c>
      <c r="C59" s="223">
        <f>3432-72</f>
        <v>3360</v>
      </c>
      <c r="D59" s="223">
        <v>4676</v>
      </c>
      <c r="E59" s="223">
        <f>4003-97</f>
        <v>3906</v>
      </c>
      <c r="F59" s="265">
        <f t="shared" si="11"/>
        <v>-770</v>
      </c>
      <c r="G59" s="191">
        <f t="shared" si="12"/>
        <v>83.532934131736525</v>
      </c>
      <c r="H59" s="211" t="s">
        <v>360</v>
      </c>
    </row>
    <row r="60" spans="1:8" s="1" customFormat="1" ht="34.5" customHeight="1">
      <c r="A60" s="192" t="s">
        <v>40</v>
      </c>
      <c r="B60" s="194">
        <v>1050</v>
      </c>
      <c r="C60" s="223">
        <f>190-4</f>
        <v>186</v>
      </c>
      <c r="D60" s="223">
        <v>337</v>
      </c>
      <c r="E60" s="223">
        <f>247-4</f>
        <v>243</v>
      </c>
      <c r="F60" s="265">
        <f t="shared" si="11"/>
        <v>-94</v>
      </c>
      <c r="G60" s="191">
        <f t="shared" si="12"/>
        <v>72.106824925816028</v>
      </c>
      <c r="H60" s="192"/>
    </row>
    <row r="61" spans="1:8" s="1" customFormat="1" ht="56.25" customHeight="1">
      <c r="A61" s="192" t="s">
        <v>41</v>
      </c>
      <c r="B61" s="194">
        <v>1051</v>
      </c>
      <c r="C61" s="223"/>
      <c r="D61" s="223">
        <v>0</v>
      </c>
      <c r="E61" s="223"/>
      <c r="F61" s="265">
        <f t="shared" si="11"/>
        <v>0</v>
      </c>
      <c r="G61" s="191" t="e">
        <f t="shared" si="12"/>
        <v>#DIV/0!</v>
      </c>
      <c r="H61" s="192"/>
    </row>
    <row r="62" spans="1:8" s="1" customFormat="1" ht="54.75" customHeight="1">
      <c r="A62" s="192" t="s">
        <v>42</v>
      </c>
      <c r="B62" s="194">
        <v>1052</v>
      </c>
      <c r="C62" s="223"/>
      <c r="D62" s="223">
        <v>0</v>
      </c>
      <c r="E62" s="223"/>
      <c r="F62" s="265">
        <f t="shared" si="11"/>
        <v>0</v>
      </c>
      <c r="G62" s="191" t="e">
        <f t="shared" si="12"/>
        <v>#DIV/0!</v>
      </c>
      <c r="H62" s="192"/>
    </row>
    <row r="63" spans="1:8" s="1" customFormat="1" ht="37.5">
      <c r="A63" s="192" t="s">
        <v>43</v>
      </c>
      <c r="B63" s="194">
        <v>1053</v>
      </c>
      <c r="C63" s="223"/>
      <c r="D63" s="223">
        <v>0</v>
      </c>
      <c r="E63" s="223"/>
      <c r="F63" s="265">
        <f t="shared" si="11"/>
        <v>0</v>
      </c>
      <c r="G63" s="191" t="e">
        <f t="shared" si="12"/>
        <v>#DIV/0!</v>
      </c>
      <c r="H63" s="192"/>
    </row>
    <row r="64" spans="1:8" s="1" customFormat="1">
      <c r="A64" s="192" t="s">
        <v>44</v>
      </c>
      <c r="B64" s="194">
        <v>1054</v>
      </c>
      <c r="C64" s="223"/>
      <c r="D64" s="223">
        <v>0</v>
      </c>
      <c r="E64" s="223"/>
      <c r="F64" s="265">
        <f t="shared" si="11"/>
        <v>0</v>
      </c>
      <c r="G64" s="191" t="e">
        <f t="shared" si="12"/>
        <v>#DIV/0!</v>
      </c>
      <c r="H64" s="192"/>
    </row>
    <row r="65" spans="1:8" s="1" customFormat="1">
      <c r="A65" s="195" t="s">
        <v>62</v>
      </c>
      <c r="B65" s="196">
        <v>1055</v>
      </c>
      <c r="C65" s="225">
        <v>13</v>
      </c>
      <c r="D65" s="223">
        <v>25</v>
      </c>
      <c r="E65" s="225">
        <f>92-63+14-10+2</f>
        <v>35</v>
      </c>
      <c r="F65" s="265">
        <f t="shared" si="11"/>
        <v>10</v>
      </c>
      <c r="G65" s="191">
        <f t="shared" si="12"/>
        <v>140</v>
      </c>
      <c r="H65" s="189"/>
    </row>
    <row r="66" spans="1:8" s="1" customFormat="1" ht="30.75" customHeight="1">
      <c r="A66" s="192" t="s">
        <v>45</v>
      </c>
      <c r="B66" s="194">
        <v>1056</v>
      </c>
      <c r="C66" s="223">
        <v>458</v>
      </c>
      <c r="D66" s="223">
        <v>525</v>
      </c>
      <c r="E66" s="223">
        <f>299+150</f>
        <v>449</v>
      </c>
      <c r="F66" s="265">
        <f t="shared" si="11"/>
        <v>-76</v>
      </c>
      <c r="G66" s="191">
        <f t="shared" si="12"/>
        <v>85.523809523809518</v>
      </c>
      <c r="H66" s="192"/>
    </row>
    <row r="67" spans="1:8" s="1" customFormat="1" ht="28.5" customHeight="1">
      <c r="A67" s="192" t="s">
        <v>46</v>
      </c>
      <c r="B67" s="194">
        <v>1057</v>
      </c>
      <c r="C67" s="223"/>
      <c r="D67" s="223">
        <v>0</v>
      </c>
      <c r="E67" s="223">
        <v>15</v>
      </c>
      <c r="F67" s="265">
        <f t="shared" si="11"/>
        <v>15</v>
      </c>
      <c r="G67" s="191" t="e">
        <f t="shared" si="12"/>
        <v>#DIV/0!</v>
      </c>
      <c r="H67" s="192"/>
    </row>
    <row r="68" spans="1:8" s="1" customFormat="1" ht="37.5" customHeight="1">
      <c r="A68" s="192" t="s">
        <v>47</v>
      </c>
      <c r="B68" s="194">
        <v>1058</v>
      </c>
      <c r="C68" s="223">
        <f>9+2</f>
        <v>11</v>
      </c>
      <c r="D68" s="223">
        <v>41</v>
      </c>
      <c r="E68" s="223">
        <v>7</v>
      </c>
      <c r="F68" s="265">
        <f t="shared" si="11"/>
        <v>-34</v>
      </c>
      <c r="G68" s="191">
        <f t="shared" si="12"/>
        <v>17.073170731707318</v>
      </c>
      <c r="H68" s="192"/>
    </row>
    <row r="69" spans="1:8" s="1" customFormat="1" ht="34.5" customHeight="1">
      <c r="A69" s="189" t="s">
        <v>48</v>
      </c>
      <c r="B69" s="197">
        <v>1059</v>
      </c>
      <c r="C69" s="223">
        <v>6</v>
      </c>
      <c r="D69" s="223">
        <v>25</v>
      </c>
      <c r="E69" s="223"/>
      <c r="F69" s="265">
        <f t="shared" si="11"/>
        <v>-25</v>
      </c>
      <c r="G69" s="191">
        <f t="shared" si="12"/>
        <v>0</v>
      </c>
      <c r="H69" s="189"/>
    </row>
    <row r="70" spans="1:8" s="1" customFormat="1" ht="71.25" customHeight="1">
      <c r="A70" s="192" t="s">
        <v>65</v>
      </c>
      <c r="B70" s="194">
        <v>1060</v>
      </c>
      <c r="C70" s="169">
        <f>C71+C72+C73+C74+C75</f>
        <v>1924</v>
      </c>
      <c r="D70" s="323">
        <f>D71+D72+D73+D74+D75</f>
        <v>4602</v>
      </c>
      <c r="E70" s="307">
        <f>E71+E72+E73+E74+E75</f>
        <v>4161</v>
      </c>
      <c r="F70" s="265">
        <f t="shared" si="11"/>
        <v>-441</v>
      </c>
      <c r="G70" s="191">
        <f t="shared" si="12"/>
        <v>90.41720990873533</v>
      </c>
      <c r="H70" s="81"/>
    </row>
    <row r="71" spans="1:8" s="1" customFormat="1" ht="37.5">
      <c r="A71" s="192" t="s">
        <v>220</v>
      </c>
      <c r="B71" s="85" t="s">
        <v>279</v>
      </c>
      <c r="C71" s="223">
        <f>203</f>
        <v>203</v>
      </c>
      <c r="D71" s="223">
        <v>292</v>
      </c>
      <c r="E71" s="223">
        <f>151-108+101+127</f>
        <v>271</v>
      </c>
      <c r="F71" s="265">
        <f t="shared" si="11"/>
        <v>-21</v>
      </c>
      <c r="G71" s="191">
        <f t="shared" si="12"/>
        <v>92.808219178082197</v>
      </c>
      <c r="H71" s="192" t="s">
        <v>359</v>
      </c>
    </row>
    <row r="72" spans="1:8" s="1" customFormat="1">
      <c r="A72" s="192" t="s">
        <v>60</v>
      </c>
      <c r="B72" s="85" t="s">
        <v>280</v>
      </c>
      <c r="C72" s="223">
        <v>141</v>
      </c>
      <c r="D72" s="223">
        <v>247</v>
      </c>
      <c r="E72" s="223">
        <v>521</v>
      </c>
      <c r="F72" s="265">
        <f t="shared" si="11"/>
        <v>274</v>
      </c>
      <c r="G72" s="191">
        <f t="shared" si="12"/>
        <v>210.93117408906883</v>
      </c>
      <c r="H72" s="81" t="s">
        <v>360</v>
      </c>
    </row>
    <row r="73" spans="1:8" s="1" customFormat="1">
      <c r="A73" s="192" t="s">
        <v>270</v>
      </c>
      <c r="B73" s="85" t="s">
        <v>281</v>
      </c>
      <c r="C73" s="223">
        <v>959</v>
      </c>
      <c r="D73" s="223">
        <v>853</v>
      </c>
      <c r="E73" s="223">
        <v>3274</v>
      </c>
      <c r="F73" s="265">
        <f t="shared" si="11"/>
        <v>2421</v>
      </c>
      <c r="G73" s="191">
        <f t="shared" si="12"/>
        <v>383.82180539273156</v>
      </c>
      <c r="H73" s="81" t="s">
        <v>360</v>
      </c>
    </row>
    <row r="74" spans="1:8" s="1" customFormat="1">
      <c r="A74" s="192" t="s">
        <v>433</v>
      </c>
      <c r="B74" s="85" t="s">
        <v>282</v>
      </c>
      <c r="C74" s="223">
        <v>547</v>
      </c>
      <c r="D74" s="223">
        <v>3108</v>
      </c>
      <c r="E74" s="223"/>
      <c r="F74" s="265">
        <f t="shared" si="11"/>
        <v>-3108</v>
      </c>
      <c r="G74" s="191">
        <f t="shared" si="12"/>
        <v>0</v>
      </c>
      <c r="H74" s="81"/>
    </row>
    <row r="75" spans="1:8" s="1" customFormat="1">
      <c r="A75" s="189" t="s">
        <v>167</v>
      </c>
      <c r="B75" s="190" t="s">
        <v>434</v>
      </c>
      <c r="C75" s="223">
        <f>50+29-5</f>
        <v>74</v>
      </c>
      <c r="D75" s="223">
        <v>102</v>
      </c>
      <c r="E75" s="223">
        <f>72+23</f>
        <v>95</v>
      </c>
      <c r="F75" s="265">
        <f t="shared" si="11"/>
        <v>-7</v>
      </c>
      <c r="G75" s="191">
        <f t="shared" si="12"/>
        <v>93.137254901960787</v>
      </c>
      <c r="H75" s="95" t="s">
        <v>360</v>
      </c>
    </row>
    <row r="76" spans="1:8" s="1" customFormat="1">
      <c r="A76" s="192" t="s">
        <v>49</v>
      </c>
      <c r="B76" s="194">
        <v>1061</v>
      </c>
      <c r="C76" s="223"/>
      <c r="D76" s="223">
        <v>0</v>
      </c>
      <c r="E76" s="223"/>
      <c r="F76" s="265">
        <f t="shared" ref="F76:F106" si="13">E76-D76</f>
        <v>0</v>
      </c>
      <c r="G76" s="191" t="e">
        <f t="shared" ref="G76:G106" si="14">E76/D76*100</f>
        <v>#DIV/0!</v>
      </c>
      <c r="H76" s="192"/>
    </row>
    <row r="77" spans="1:8" s="1" customFormat="1">
      <c r="A77" s="192" t="s">
        <v>92</v>
      </c>
      <c r="B77" s="194">
        <v>1062</v>
      </c>
      <c r="C77" s="223">
        <f>SUM(C78:C89)</f>
        <v>374</v>
      </c>
      <c r="D77" s="223">
        <f>SUM(D78:D89)</f>
        <v>493</v>
      </c>
      <c r="E77" s="223">
        <f>SUM(E78:E89)</f>
        <v>493</v>
      </c>
      <c r="F77" s="265">
        <f t="shared" si="13"/>
        <v>0</v>
      </c>
      <c r="G77" s="191">
        <f t="shared" si="14"/>
        <v>100</v>
      </c>
      <c r="H77" s="192"/>
    </row>
    <row r="78" spans="1:8" s="1" customFormat="1">
      <c r="A78" s="192" t="s">
        <v>290</v>
      </c>
      <c r="B78" s="85" t="s">
        <v>259</v>
      </c>
      <c r="C78" s="223">
        <v>81</v>
      </c>
      <c r="D78" s="223">
        <v>82</v>
      </c>
      <c r="E78" s="223">
        <f>63+63-15</f>
        <v>111</v>
      </c>
      <c r="F78" s="265">
        <f t="shared" si="13"/>
        <v>29</v>
      </c>
      <c r="G78" s="191">
        <f t="shared" si="14"/>
        <v>135.36585365853659</v>
      </c>
      <c r="H78" s="192"/>
    </row>
    <row r="79" spans="1:8" s="1" customFormat="1" ht="78.75" customHeight="1">
      <c r="A79" s="192" t="s">
        <v>437</v>
      </c>
      <c r="B79" s="252" t="s">
        <v>260</v>
      </c>
      <c r="C79" s="223">
        <v>0</v>
      </c>
      <c r="D79" s="223">
        <v>0</v>
      </c>
      <c r="E79" s="223"/>
      <c r="F79" s="265">
        <f t="shared" si="13"/>
        <v>0</v>
      </c>
      <c r="G79" s="191" t="e">
        <f t="shared" si="14"/>
        <v>#DIV/0!</v>
      </c>
      <c r="H79" s="192"/>
    </row>
    <row r="80" spans="1:8" s="1" customFormat="1">
      <c r="A80" s="192" t="s">
        <v>291</v>
      </c>
      <c r="B80" s="85" t="s">
        <v>261</v>
      </c>
      <c r="C80" s="223">
        <v>134</v>
      </c>
      <c r="D80" s="223">
        <v>121</v>
      </c>
      <c r="E80" s="223">
        <v>198</v>
      </c>
      <c r="F80" s="265">
        <f t="shared" si="13"/>
        <v>77</v>
      </c>
      <c r="G80" s="191">
        <f t="shared" si="14"/>
        <v>163.63636363636365</v>
      </c>
      <c r="H80" s="192"/>
    </row>
    <row r="81" spans="1:8" s="1" customFormat="1">
      <c r="A81" s="192" t="s">
        <v>292</v>
      </c>
      <c r="B81" s="85" t="s">
        <v>262</v>
      </c>
      <c r="C81" s="324">
        <v>58</v>
      </c>
      <c r="D81" s="223">
        <v>57</v>
      </c>
      <c r="E81" s="350">
        <v>31</v>
      </c>
      <c r="F81" s="265">
        <f t="shared" si="13"/>
        <v>-26</v>
      </c>
      <c r="G81" s="191">
        <f t="shared" si="14"/>
        <v>54.385964912280706</v>
      </c>
      <c r="H81" s="192"/>
    </row>
    <row r="82" spans="1:8" s="1" customFormat="1" ht="37.5">
      <c r="A82" s="192" t="s">
        <v>293</v>
      </c>
      <c r="B82" s="85" t="s">
        <v>283</v>
      </c>
      <c r="C82" s="223">
        <v>32</v>
      </c>
      <c r="D82" s="223">
        <v>60</v>
      </c>
      <c r="E82" s="223"/>
      <c r="F82" s="265">
        <f t="shared" si="13"/>
        <v>-60</v>
      </c>
      <c r="G82" s="191">
        <f t="shared" si="14"/>
        <v>0</v>
      </c>
      <c r="H82" s="192"/>
    </row>
    <row r="83" spans="1:8" s="1" customFormat="1">
      <c r="A83" s="192" t="s">
        <v>294</v>
      </c>
      <c r="B83" s="85" t="s">
        <v>284</v>
      </c>
      <c r="C83" s="223"/>
      <c r="D83" s="223">
        <v>0</v>
      </c>
      <c r="E83" s="223"/>
      <c r="F83" s="265">
        <f t="shared" si="13"/>
        <v>0</v>
      </c>
      <c r="G83" s="191" t="e">
        <f t="shared" si="14"/>
        <v>#DIV/0!</v>
      </c>
      <c r="H83" s="192"/>
    </row>
    <row r="84" spans="1:8" s="1" customFormat="1" ht="75">
      <c r="A84" s="192" t="s">
        <v>429</v>
      </c>
      <c r="B84" s="85" t="s">
        <v>285</v>
      </c>
      <c r="C84" s="223"/>
      <c r="D84" s="223">
        <v>22</v>
      </c>
      <c r="E84" s="223"/>
      <c r="F84" s="265">
        <f t="shared" si="13"/>
        <v>-22</v>
      </c>
      <c r="G84" s="191">
        <f t="shared" si="14"/>
        <v>0</v>
      </c>
      <c r="H84" s="192" t="s">
        <v>430</v>
      </c>
    </row>
    <row r="85" spans="1:8" s="1" customFormat="1">
      <c r="A85" s="189" t="s">
        <v>295</v>
      </c>
      <c r="B85" s="190" t="s">
        <v>286</v>
      </c>
      <c r="C85" s="223">
        <v>3</v>
      </c>
      <c r="D85" s="223">
        <v>7</v>
      </c>
      <c r="E85" s="223"/>
      <c r="F85" s="265">
        <f t="shared" si="13"/>
        <v>-7</v>
      </c>
      <c r="G85" s="191">
        <f t="shared" si="14"/>
        <v>0</v>
      </c>
      <c r="H85" s="192"/>
    </row>
    <row r="86" spans="1:8" s="1" customFormat="1" ht="37.5">
      <c r="A86" s="192" t="s">
        <v>296</v>
      </c>
      <c r="B86" s="85" t="s">
        <v>287</v>
      </c>
      <c r="C86" s="223">
        <v>21</v>
      </c>
      <c r="D86" s="223">
        <v>21</v>
      </c>
      <c r="E86" s="223">
        <v>8</v>
      </c>
      <c r="F86" s="265">
        <f t="shared" si="13"/>
        <v>-13</v>
      </c>
      <c r="G86" s="191">
        <f t="shared" si="14"/>
        <v>38.095238095238095</v>
      </c>
      <c r="H86" s="192" t="s">
        <v>432</v>
      </c>
    </row>
    <row r="87" spans="1:8" s="1" customFormat="1">
      <c r="A87" s="192" t="s">
        <v>297</v>
      </c>
      <c r="B87" s="85" t="s">
        <v>288</v>
      </c>
      <c r="C87" s="223"/>
      <c r="D87" s="223">
        <v>0</v>
      </c>
      <c r="E87" s="223"/>
      <c r="F87" s="265">
        <f t="shared" si="13"/>
        <v>0</v>
      </c>
      <c r="G87" s="191" t="e">
        <f t="shared" si="14"/>
        <v>#DIV/0!</v>
      </c>
      <c r="H87" s="192"/>
    </row>
    <row r="88" spans="1:8" s="1" customFormat="1">
      <c r="A88" s="192" t="s">
        <v>354</v>
      </c>
      <c r="B88" s="85" t="s">
        <v>289</v>
      </c>
      <c r="C88" s="223"/>
      <c r="D88" s="223">
        <v>0</v>
      </c>
      <c r="E88" s="223"/>
      <c r="F88" s="265">
        <f t="shared" si="13"/>
        <v>0</v>
      </c>
      <c r="G88" s="191" t="e">
        <f t="shared" si="14"/>
        <v>#DIV/0!</v>
      </c>
      <c r="H88" s="192"/>
    </row>
    <row r="89" spans="1:8" s="1" customFormat="1" ht="37.5">
      <c r="A89" s="192" t="s">
        <v>298</v>
      </c>
      <c r="B89" s="85" t="s">
        <v>353</v>
      </c>
      <c r="C89" s="223">
        <f>42+3</f>
        <v>45</v>
      </c>
      <c r="D89" s="223">
        <v>123</v>
      </c>
      <c r="E89" s="223">
        <f>145</f>
        <v>145</v>
      </c>
      <c r="F89" s="265">
        <f t="shared" si="13"/>
        <v>22</v>
      </c>
      <c r="G89" s="191">
        <f t="shared" si="14"/>
        <v>117.88617886178862</v>
      </c>
      <c r="H89" s="192" t="s">
        <v>359</v>
      </c>
    </row>
    <row r="90" spans="1:8" s="1" customFormat="1">
      <c r="A90" s="193" t="s">
        <v>185</v>
      </c>
      <c r="B90" s="198">
        <v>1070</v>
      </c>
      <c r="C90" s="187"/>
      <c r="D90" s="149">
        <v>0</v>
      </c>
      <c r="E90" s="149"/>
      <c r="F90" s="265">
        <f t="shared" si="13"/>
        <v>0</v>
      </c>
      <c r="G90" s="191" t="e">
        <f t="shared" si="14"/>
        <v>#DIV/0!</v>
      </c>
      <c r="H90" s="192"/>
    </row>
    <row r="91" spans="1:8" s="1" customFormat="1">
      <c r="A91" s="192" t="s">
        <v>159</v>
      </c>
      <c r="B91" s="194">
        <v>1071</v>
      </c>
      <c r="C91" s="169"/>
      <c r="D91" s="223">
        <v>0</v>
      </c>
      <c r="E91" s="168"/>
      <c r="F91" s="265">
        <f t="shared" si="13"/>
        <v>0</v>
      </c>
      <c r="G91" s="191" t="e">
        <f t="shared" si="14"/>
        <v>#DIV/0!</v>
      </c>
      <c r="H91" s="192"/>
    </row>
    <row r="92" spans="1:8" s="1" customFormat="1">
      <c r="A92" s="192" t="s">
        <v>160</v>
      </c>
      <c r="B92" s="194">
        <v>1072</v>
      </c>
      <c r="C92" s="169">
        <v>0</v>
      </c>
      <c r="D92" s="223">
        <v>0</v>
      </c>
      <c r="E92" s="223"/>
      <c r="F92" s="265">
        <f t="shared" si="13"/>
        <v>0</v>
      </c>
      <c r="G92" s="191" t="e">
        <f t="shared" si="14"/>
        <v>#DIV/0!</v>
      </c>
      <c r="H92" s="192"/>
    </row>
    <row r="93" spans="1:8" s="231" customFormat="1" ht="20.100000000000001" customHeight="1">
      <c r="A93" s="192" t="s">
        <v>38</v>
      </c>
      <c r="B93" s="194">
        <v>1073</v>
      </c>
      <c r="C93" s="169">
        <v>0</v>
      </c>
      <c r="D93" s="223">
        <v>0</v>
      </c>
      <c r="E93" s="223"/>
      <c r="F93" s="265">
        <f t="shared" si="13"/>
        <v>0</v>
      </c>
      <c r="G93" s="191" t="e">
        <f t="shared" si="14"/>
        <v>#DIV/0!</v>
      </c>
      <c r="H93" s="192"/>
    </row>
    <row r="94" spans="1:8" s="1" customFormat="1" ht="36" customHeight="1">
      <c r="A94" s="192" t="s">
        <v>59</v>
      </c>
      <c r="B94" s="194">
        <v>1074</v>
      </c>
      <c r="C94" s="169">
        <v>0</v>
      </c>
      <c r="D94" s="223">
        <v>0</v>
      </c>
      <c r="E94" s="223"/>
      <c r="F94" s="265">
        <f t="shared" si="13"/>
        <v>0</v>
      </c>
      <c r="G94" s="191" t="e">
        <f t="shared" si="14"/>
        <v>#DIV/0!</v>
      </c>
      <c r="H94" s="192"/>
    </row>
    <row r="95" spans="1:8" s="1" customFormat="1" ht="20.100000000000001" customHeight="1">
      <c r="A95" s="192" t="s">
        <v>67</v>
      </c>
      <c r="B95" s="194">
        <v>1075</v>
      </c>
      <c r="C95" s="169">
        <v>0</v>
      </c>
      <c r="D95" s="223">
        <v>0</v>
      </c>
      <c r="E95" s="223"/>
      <c r="F95" s="265">
        <f t="shared" si="13"/>
        <v>0</v>
      </c>
      <c r="G95" s="191" t="e">
        <f t="shared" si="14"/>
        <v>#DIV/0!</v>
      </c>
      <c r="H95" s="192"/>
    </row>
    <row r="96" spans="1:8" s="1" customFormat="1" ht="38.25" customHeight="1">
      <c r="A96" s="192" t="s">
        <v>106</v>
      </c>
      <c r="B96" s="194">
        <v>1076</v>
      </c>
      <c r="C96" s="169">
        <v>0</v>
      </c>
      <c r="D96" s="223">
        <v>0</v>
      </c>
      <c r="E96" s="223"/>
      <c r="F96" s="265">
        <f t="shared" si="13"/>
        <v>0</v>
      </c>
      <c r="G96" s="191" t="e">
        <f t="shared" si="14"/>
        <v>#DIV/0!</v>
      </c>
      <c r="H96" s="192"/>
    </row>
    <row r="97" spans="1:8" s="1" customFormat="1" ht="37.5">
      <c r="A97" s="199" t="s">
        <v>68</v>
      </c>
      <c r="B97" s="186">
        <v>1080</v>
      </c>
      <c r="C97" s="233">
        <f>SUM(C98:C102)</f>
        <v>5662</v>
      </c>
      <c r="D97" s="233">
        <f>SUM(D98:D102)</f>
        <v>3383</v>
      </c>
      <c r="E97" s="233">
        <f>SUM(E98:E102)</f>
        <v>4364</v>
      </c>
      <c r="F97" s="264">
        <f t="shared" si="13"/>
        <v>981</v>
      </c>
      <c r="G97" s="234">
        <f t="shared" si="14"/>
        <v>128.99793083062369</v>
      </c>
      <c r="H97" s="237"/>
    </row>
    <row r="98" spans="1:8" s="1" customFormat="1" ht="20.100000000000001" customHeight="1">
      <c r="A98" s="192" t="s">
        <v>64</v>
      </c>
      <c r="B98" s="200">
        <v>1081</v>
      </c>
      <c r="C98" s="169">
        <v>0</v>
      </c>
      <c r="D98" s="223">
        <v>0</v>
      </c>
      <c r="E98" s="223"/>
      <c r="F98" s="265">
        <f t="shared" si="13"/>
        <v>0</v>
      </c>
      <c r="G98" s="191" t="e">
        <f t="shared" si="14"/>
        <v>#DIV/0!</v>
      </c>
      <c r="H98" s="192"/>
    </row>
    <row r="99" spans="1:8" s="1" customFormat="1" ht="34.5" customHeight="1">
      <c r="A99" s="192" t="s">
        <v>50</v>
      </c>
      <c r="B99" s="200">
        <v>1082</v>
      </c>
      <c r="C99" s="169">
        <v>0</v>
      </c>
      <c r="D99" s="223">
        <v>0</v>
      </c>
      <c r="E99" s="223"/>
      <c r="F99" s="265">
        <f t="shared" si="13"/>
        <v>0</v>
      </c>
      <c r="G99" s="191" t="e">
        <f t="shared" si="14"/>
        <v>#DIV/0!</v>
      </c>
      <c r="H99" s="192"/>
    </row>
    <row r="100" spans="1:8" s="1" customFormat="1" ht="37.5">
      <c r="A100" s="192" t="s">
        <v>57</v>
      </c>
      <c r="B100" s="200">
        <v>1083</v>
      </c>
      <c r="C100" s="169">
        <v>0</v>
      </c>
      <c r="D100" s="223">
        <v>0</v>
      </c>
      <c r="E100" s="223"/>
      <c r="F100" s="265">
        <f t="shared" si="13"/>
        <v>0</v>
      </c>
      <c r="G100" s="191" t="e">
        <f t="shared" si="14"/>
        <v>#DIV/0!</v>
      </c>
      <c r="H100" s="192"/>
    </row>
    <row r="101" spans="1:8" s="1" customFormat="1" ht="20.100000000000001" customHeight="1">
      <c r="A101" s="192" t="s">
        <v>178</v>
      </c>
      <c r="B101" s="200">
        <v>1084</v>
      </c>
      <c r="C101" s="223">
        <v>0</v>
      </c>
      <c r="D101" s="223">
        <v>0</v>
      </c>
      <c r="E101" s="223"/>
      <c r="F101" s="265">
        <f t="shared" si="13"/>
        <v>0</v>
      </c>
      <c r="G101" s="191" t="e">
        <f t="shared" si="14"/>
        <v>#DIV/0!</v>
      </c>
      <c r="H101" s="192"/>
    </row>
    <row r="102" spans="1:8" s="1" customFormat="1">
      <c r="A102" s="193" t="s">
        <v>198</v>
      </c>
      <c r="B102" s="200">
        <v>1085</v>
      </c>
      <c r="C102" s="340">
        <f>C103+C104+C105+C106+C108+C110+C112+C114+C115+C116+C117+C118+C119+C120+C122+C123+C126+C127+C129</f>
        <v>5662</v>
      </c>
      <c r="D102" s="340">
        <f>D103+D104+D105+D106+D108+D110+D112+D114+D115+D116+D117+D118+D119+D120+D122+D123+D126+D127+D129</f>
        <v>3383</v>
      </c>
      <c r="E102" s="340">
        <f>E103+E104+E105+E106+E108+E110+E112+E114+E115+E116+E117+E118+E119+E120+E122+E123+E126+E127+E129</f>
        <v>4364</v>
      </c>
      <c r="F102" s="264">
        <f t="shared" si="13"/>
        <v>981</v>
      </c>
      <c r="G102" s="234">
        <f t="shared" si="14"/>
        <v>128.99793083062369</v>
      </c>
      <c r="H102" s="192"/>
    </row>
    <row r="103" spans="1:8" s="1" customFormat="1" ht="37.5">
      <c r="A103" s="247" t="s">
        <v>588</v>
      </c>
      <c r="B103" s="168" t="s">
        <v>263</v>
      </c>
      <c r="C103" s="223">
        <v>485</v>
      </c>
      <c r="D103" s="223">
        <v>250</v>
      </c>
      <c r="E103" s="223">
        <f>62+8+640</f>
        <v>710</v>
      </c>
      <c r="F103" s="265">
        <f t="shared" si="13"/>
        <v>460</v>
      </c>
      <c r="G103" s="191">
        <f t="shared" si="14"/>
        <v>284</v>
      </c>
      <c r="H103" s="192"/>
    </row>
    <row r="104" spans="1:8" s="1" customFormat="1" ht="61.5" customHeight="1">
      <c r="A104" s="192" t="s">
        <v>542</v>
      </c>
      <c r="B104" s="168" t="s">
        <v>264</v>
      </c>
      <c r="C104" s="223">
        <f>-81+671</f>
        <v>590</v>
      </c>
      <c r="D104" s="223">
        <v>0</v>
      </c>
      <c r="E104" s="223">
        <f>-161+35</f>
        <v>-126</v>
      </c>
      <c r="F104" s="265">
        <f t="shared" si="13"/>
        <v>-126</v>
      </c>
      <c r="G104" s="191" t="e">
        <f t="shared" si="14"/>
        <v>#DIV/0!</v>
      </c>
      <c r="H104" s="192"/>
    </row>
    <row r="105" spans="1:8" s="1" customFormat="1" ht="39.75" customHeight="1">
      <c r="A105" s="192" t="s">
        <v>445</v>
      </c>
      <c r="B105" s="168" t="s">
        <v>265</v>
      </c>
      <c r="C105" s="223">
        <v>1</v>
      </c>
      <c r="D105" s="223">
        <v>0</v>
      </c>
      <c r="E105" s="223">
        <v>0</v>
      </c>
      <c r="F105" s="265">
        <f t="shared" si="13"/>
        <v>0</v>
      </c>
      <c r="G105" s="191" t="e">
        <f t="shared" si="14"/>
        <v>#DIV/0!</v>
      </c>
      <c r="H105" s="192"/>
    </row>
    <row r="106" spans="1:8" s="1" customFormat="1" ht="40.5" customHeight="1">
      <c r="A106" s="192" t="s">
        <v>311</v>
      </c>
      <c r="B106" s="168" t="s">
        <v>299</v>
      </c>
      <c r="C106" s="223">
        <v>882</v>
      </c>
      <c r="D106" s="223">
        <v>720</v>
      </c>
      <c r="E106" s="223">
        <v>293</v>
      </c>
      <c r="F106" s="265">
        <f t="shared" si="13"/>
        <v>-427</v>
      </c>
      <c r="G106" s="191">
        <f t="shared" si="14"/>
        <v>40.694444444444443</v>
      </c>
      <c r="H106" s="192"/>
    </row>
    <row r="107" spans="1:8" s="1" customFormat="1" ht="40.5" customHeight="1">
      <c r="A107" s="192" t="s">
        <v>537</v>
      </c>
      <c r="B107" s="168" t="s">
        <v>538</v>
      </c>
      <c r="C107" s="223"/>
      <c r="D107" s="293">
        <v>0</v>
      </c>
      <c r="E107" s="223"/>
      <c r="F107" s="265">
        <f t="shared" ref="F107:F138" si="15">E107-D107</f>
        <v>0</v>
      </c>
      <c r="G107" s="191" t="e">
        <f t="shared" ref="G107:G138" si="16">E107/D107*100</f>
        <v>#DIV/0!</v>
      </c>
      <c r="H107" s="192"/>
    </row>
    <row r="108" spans="1:8" s="1" customFormat="1" ht="69" customHeight="1">
      <c r="A108" s="192" t="s">
        <v>374</v>
      </c>
      <c r="B108" s="168" t="s">
        <v>300</v>
      </c>
      <c r="C108" s="223">
        <f>7-1</f>
        <v>6</v>
      </c>
      <c r="D108" s="223">
        <v>0</v>
      </c>
      <c r="E108" s="223">
        <f>70+54</f>
        <v>124</v>
      </c>
      <c r="F108" s="265">
        <f t="shared" si="15"/>
        <v>124</v>
      </c>
      <c r="G108" s="191" t="e">
        <f t="shared" si="16"/>
        <v>#DIV/0!</v>
      </c>
      <c r="H108" s="192"/>
    </row>
    <row r="109" spans="1:8" s="1" customFormat="1" ht="69" customHeight="1">
      <c r="A109" s="192" t="s">
        <v>537</v>
      </c>
      <c r="B109" s="168" t="s">
        <v>567</v>
      </c>
      <c r="C109" s="223">
        <f>1+1</f>
        <v>2</v>
      </c>
      <c r="D109" s="223">
        <v>0</v>
      </c>
      <c r="E109" s="223">
        <f>13+9</f>
        <v>22</v>
      </c>
      <c r="F109" s="265">
        <f t="shared" si="15"/>
        <v>22</v>
      </c>
      <c r="G109" s="191" t="e">
        <f t="shared" si="16"/>
        <v>#DIV/0!</v>
      </c>
      <c r="H109" s="192"/>
    </row>
    <row r="110" spans="1:8" s="1" customFormat="1" ht="37.5" customHeight="1">
      <c r="A110" s="245" t="s">
        <v>515</v>
      </c>
      <c r="B110" s="168" t="s">
        <v>301</v>
      </c>
      <c r="C110" s="223">
        <v>39</v>
      </c>
      <c r="D110" s="223">
        <v>0</v>
      </c>
      <c r="E110" s="223">
        <f>36+18</f>
        <v>54</v>
      </c>
      <c r="F110" s="265">
        <f t="shared" si="15"/>
        <v>54</v>
      </c>
      <c r="G110" s="191" t="e">
        <f t="shared" si="16"/>
        <v>#DIV/0!</v>
      </c>
      <c r="H110" s="192"/>
    </row>
    <row r="111" spans="1:8" s="1" customFormat="1" ht="37.5" customHeight="1">
      <c r="A111" s="245" t="s">
        <v>516</v>
      </c>
      <c r="B111" s="168" t="s">
        <v>475</v>
      </c>
      <c r="C111" s="223">
        <v>0</v>
      </c>
      <c r="D111" s="293">
        <v>0</v>
      </c>
      <c r="E111" s="223">
        <v>0</v>
      </c>
      <c r="F111" s="265">
        <f t="shared" si="15"/>
        <v>0</v>
      </c>
      <c r="G111" s="191" t="e">
        <f t="shared" si="16"/>
        <v>#DIV/0!</v>
      </c>
      <c r="H111" s="192"/>
    </row>
    <row r="112" spans="1:8" s="1" customFormat="1" ht="51.75" customHeight="1">
      <c r="A112" s="192" t="s">
        <v>312</v>
      </c>
      <c r="B112" s="168" t="s">
        <v>302</v>
      </c>
      <c r="C112" s="223"/>
      <c r="D112" s="293">
        <v>60</v>
      </c>
      <c r="E112" s="223">
        <v>0</v>
      </c>
      <c r="F112" s="265">
        <f t="shared" si="15"/>
        <v>-60</v>
      </c>
      <c r="G112" s="191">
        <f t="shared" si="16"/>
        <v>0</v>
      </c>
      <c r="H112" s="192"/>
    </row>
    <row r="113" spans="1:9" s="1" customFormat="1" ht="46.5" customHeight="1">
      <c r="A113" s="192" t="s">
        <v>333</v>
      </c>
      <c r="B113" s="168" t="s">
        <v>375</v>
      </c>
      <c r="C113" s="223"/>
      <c r="D113" s="293">
        <v>0</v>
      </c>
      <c r="E113" s="223"/>
      <c r="F113" s="265">
        <f t="shared" si="15"/>
        <v>0</v>
      </c>
      <c r="G113" s="191" t="e">
        <f t="shared" si="16"/>
        <v>#DIV/0!</v>
      </c>
      <c r="H113" s="192"/>
    </row>
    <row r="114" spans="1:9" s="1" customFormat="1" ht="36" customHeight="1">
      <c r="A114" s="192" t="s">
        <v>313</v>
      </c>
      <c r="B114" s="168" t="s">
        <v>303</v>
      </c>
      <c r="C114" s="223">
        <v>306</v>
      </c>
      <c r="D114" s="293">
        <v>350</v>
      </c>
      <c r="E114" s="223">
        <v>83</v>
      </c>
      <c r="F114" s="265">
        <f t="shared" si="15"/>
        <v>-267</v>
      </c>
      <c r="G114" s="191">
        <f t="shared" si="16"/>
        <v>23.714285714285715</v>
      </c>
      <c r="H114" s="192"/>
    </row>
    <row r="115" spans="1:9" s="1" customFormat="1" ht="44.25" customHeight="1">
      <c r="A115" s="192" t="s">
        <v>314</v>
      </c>
      <c r="B115" s="168" t="s">
        <v>304</v>
      </c>
      <c r="C115" s="223"/>
      <c r="D115" s="293">
        <v>2</v>
      </c>
      <c r="E115" s="223"/>
      <c r="F115" s="265">
        <f t="shared" si="15"/>
        <v>-2</v>
      </c>
      <c r="G115" s="191">
        <f t="shared" si="16"/>
        <v>0</v>
      </c>
      <c r="H115" s="192"/>
    </row>
    <row r="116" spans="1:9" s="1" customFormat="1" ht="44.25" customHeight="1">
      <c r="A116" s="192" t="s">
        <v>315</v>
      </c>
      <c r="B116" s="168" t="s">
        <v>305</v>
      </c>
      <c r="C116" s="223">
        <f>4+3</f>
        <v>7</v>
      </c>
      <c r="D116" s="293">
        <v>3</v>
      </c>
      <c r="E116" s="223">
        <v>0</v>
      </c>
      <c r="F116" s="265">
        <f t="shared" si="15"/>
        <v>-3</v>
      </c>
      <c r="G116" s="191">
        <f t="shared" si="16"/>
        <v>0</v>
      </c>
      <c r="H116" s="192"/>
    </row>
    <row r="117" spans="1:9" s="1" customFormat="1" ht="36.75" customHeight="1">
      <c r="A117" s="192" t="s">
        <v>316</v>
      </c>
      <c r="B117" s="168" t="s">
        <v>306</v>
      </c>
      <c r="C117" s="223"/>
      <c r="D117" s="293">
        <v>0</v>
      </c>
      <c r="E117" s="223"/>
      <c r="F117" s="265">
        <f t="shared" si="15"/>
        <v>0</v>
      </c>
      <c r="G117" s="191" t="e">
        <f t="shared" si="16"/>
        <v>#DIV/0!</v>
      </c>
      <c r="H117" s="192"/>
    </row>
    <row r="118" spans="1:9" s="1" customFormat="1" ht="44.25" customHeight="1">
      <c r="A118" s="192" t="s">
        <v>317</v>
      </c>
      <c r="B118" s="168" t="s">
        <v>307</v>
      </c>
      <c r="C118" s="223"/>
      <c r="D118" s="293">
        <v>0</v>
      </c>
      <c r="E118" s="223"/>
      <c r="F118" s="265">
        <f t="shared" si="15"/>
        <v>0</v>
      </c>
      <c r="G118" s="191" t="e">
        <f t="shared" si="16"/>
        <v>#DIV/0!</v>
      </c>
      <c r="H118" s="192"/>
    </row>
    <row r="119" spans="1:9" s="1" customFormat="1" ht="42" customHeight="1">
      <c r="A119" s="192" t="s">
        <v>610</v>
      </c>
      <c r="B119" s="168" t="s">
        <v>308</v>
      </c>
      <c r="C119" s="223">
        <v>994</v>
      </c>
      <c r="D119" s="223">
        <v>1035</v>
      </c>
      <c r="E119" s="223">
        <v>333</v>
      </c>
      <c r="F119" s="265">
        <f t="shared" si="15"/>
        <v>-702</v>
      </c>
      <c r="G119" s="191">
        <f t="shared" si="16"/>
        <v>32.173913043478258</v>
      </c>
      <c r="H119" s="192"/>
    </row>
    <row r="120" spans="1:9" s="1" customFormat="1" ht="44.25" customHeight="1">
      <c r="A120" s="192" t="s">
        <v>318</v>
      </c>
      <c r="B120" s="168" t="s">
        <v>309</v>
      </c>
      <c r="C120" s="223">
        <f>945+1</f>
        <v>946</v>
      </c>
      <c r="D120" s="223">
        <v>0</v>
      </c>
      <c r="E120" s="223">
        <f>782+186</f>
        <v>968</v>
      </c>
      <c r="F120" s="265">
        <f t="shared" si="15"/>
        <v>968</v>
      </c>
      <c r="G120" s="191" t="e">
        <f t="shared" si="16"/>
        <v>#DIV/0!</v>
      </c>
      <c r="H120" s="192" t="s">
        <v>363</v>
      </c>
    </row>
    <row r="121" spans="1:9" s="1" customFormat="1" ht="41.25" customHeight="1">
      <c r="A121" s="192" t="s">
        <v>355</v>
      </c>
      <c r="B121" s="168" t="s">
        <v>376</v>
      </c>
      <c r="C121" s="223">
        <f>150+2</f>
        <v>152</v>
      </c>
      <c r="D121" s="223">
        <v>0</v>
      </c>
      <c r="E121" s="223">
        <f>141+33</f>
        <v>174</v>
      </c>
      <c r="F121" s="265">
        <f t="shared" si="15"/>
        <v>174</v>
      </c>
      <c r="G121" s="191" t="e">
        <f t="shared" si="16"/>
        <v>#DIV/0!</v>
      </c>
      <c r="H121" s="192"/>
    </row>
    <row r="122" spans="1:9" s="1" customFormat="1" ht="44.25" customHeight="1">
      <c r="A122" s="189" t="s">
        <v>319</v>
      </c>
      <c r="B122" s="201" t="s">
        <v>310</v>
      </c>
      <c r="C122" s="223">
        <f>3+3+3+89+3</f>
        <v>101</v>
      </c>
      <c r="D122" s="223">
        <v>0</v>
      </c>
      <c r="E122" s="223">
        <f>3+9+1</f>
        <v>13</v>
      </c>
      <c r="F122" s="265">
        <f t="shared" si="15"/>
        <v>13</v>
      </c>
      <c r="G122" s="191" t="e">
        <f t="shared" si="16"/>
        <v>#DIV/0!</v>
      </c>
      <c r="H122" s="192"/>
      <c r="I122" s="222"/>
    </row>
    <row r="123" spans="1:9" s="1" customFormat="1" ht="54" customHeight="1">
      <c r="A123" s="192" t="s">
        <v>320</v>
      </c>
      <c r="B123" s="168" t="s">
        <v>377</v>
      </c>
      <c r="C123" s="223">
        <v>918</v>
      </c>
      <c r="D123" s="223">
        <v>963</v>
      </c>
      <c r="E123" s="223">
        <f>1387+199</f>
        <v>1586</v>
      </c>
      <c r="F123" s="265">
        <f t="shared" si="15"/>
        <v>623</v>
      </c>
      <c r="G123" s="191">
        <f t="shared" si="16"/>
        <v>164.69366562824507</v>
      </c>
      <c r="H123" s="192" t="s">
        <v>363</v>
      </c>
    </row>
    <row r="124" spans="1:9" s="1" customFormat="1" ht="40.5" customHeight="1">
      <c r="A124" s="192" t="s">
        <v>471</v>
      </c>
      <c r="B124" s="168" t="s">
        <v>473</v>
      </c>
      <c r="C124" s="223">
        <f>765-1</f>
        <v>764</v>
      </c>
      <c r="D124" s="223">
        <v>789</v>
      </c>
      <c r="E124" s="223">
        <f>1137+163</f>
        <v>1300</v>
      </c>
      <c r="F124" s="265">
        <f t="shared" si="15"/>
        <v>511</v>
      </c>
      <c r="G124" s="191">
        <f t="shared" si="16"/>
        <v>164.76552598225601</v>
      </c>
      <c r="H124" s="189"/>
    </row>
    <row r="125" spans="1:9" s="1" customFormat="1" ht="40.5" customHeight="1">
      <c r="A125" s="192" t="s">
        <v>472</v>
      </c>
      <c r="B125" s="168" t="s">
        <v>474</v>
      </c>
      <c r="C125" s="223">
        <f>153+1</f>
        <v>154</v>
      </c>
      <c r="D125" s="223">
        <v>174</v>
      </c>
      <c r="E125" s="223">
        <f>250+36</f>
        <v>286</v>
      </c>
      <c r="F125" s="265">
        <f t="shared" si="15"/>
        <v>112</v>
      </c>
      <c r="G125" s="191">
        <f t="shared" si="16"/>
        <v>164.36781609195404</v>
      </c>
      <c r="H125" s="189"/>
    </row>
    <row r="126" spans="1:9" s="1" customFormat="1" ht="40.5" customHeight="1">
      <c r="A126" s="245" t="s">
        <v>517</v>
      </c>
      <c r="B126" s="246" t="s">
        <v>518</v>
      </c>
      <c r="C126" s="223">
        <v>334</v>
      </c>
      <c r="D126" s="223">
        <v>0</v>
      </c>
      <c r="E126" s="223">
        <f>181+76</f>
        <v>257</v>
      </c>
      <c r="F126" s="265">
        <f t="shared" si="15"/>
        <v>257</v>
      </c>
      <c r="G126" s="191" t="e">
        <f t="shared" si="16"/>
        <v>#DIV/0!</v>
      </c>
      <c r="H126" s="189"/>
    </row>
    <row r="127" spans="1:9" s="1" customFormat="1" ht="56.25" customHeight="1">
      <c r="A127" s="245" t="s">
        <v>519</v>
      </c>
      <c r="B127" s="246" t="s">
        <v>520</v>
      </c>
      <c r="C127" s="223">
        <f>34</f>
        <v>34</v>
      </c>
      <c r="D127" s="293">
        <v>0</v>
      </c>
      <c r="E127" s="223">
        <f>3+61</f>
        <v>64</v>
      </c>
      <c r="F127" s="265">
        <f t="shared" si="15"/>
        <v>64</v>
      </c>
      <c r="G127" s="191" t="e">
        <f t="shared" si="16"/>
        <v>#DIV/0!</v>
      </c>
      <c r="H127" s="189"/>
    </row>
    <row r="128" spans="1:9" s="1" customFormat="1" ht="40.5" customHeight="1">
      <c r="A128" s="245" t="s">
        <v>521</v>
      </c>
      <c r="B128" s="246" t="s">
        <v>522</v>
      </c>
      <c r="C128" s="223">
        <f>7+1</f>
        <v>8</v>
      </c>
      <c r="D128" s="293">
        <v>0</v>
      </c>
      <c r="E128" s="223">
        <f>1+11</f>
        <v>12</v>
      </c>
      <c r="F128" s="265">
        <f t="shared" si="15"/>
        <v>12</v>
      </c>
      <c r="G128" s="191" t="e">
        <f t="shared" si="16"/>
        <v>#DIV/0!</v>
      </c>
      <c r="H128" s="189"/>
    </row>
    <row r="129" spans="1:8" s="1" customFormat="1" ht="40.5" customHeight="1">
      <c r="A129" s="253" t="s">
        <v>539</v>
      </c>
      <c r="B129" s="254" t="s">
        <v>540</v>
      </c>
      <c r="C129" s="223">
        <v>19</v>
      </c>
      <c r="D129" s="293">
        <v>0</v>
      </c>
      <c r="E129" s="223">
        <v>5</v>
      </c>
      <c r="F129" s="265">
        <f t="shared" si="15"/>
        <v>5</v>
      </c>
      <c r="G129" s="191" t="e">
        <f t="shared" si="16"/>
        <v>#DIV/0!</v>
      </c>
      <c r="H129" s="189"/>
    </row>
    <row r="130" spans="1:8" s="1" customFormat="1" ht="40.5" customHeight="1">
      <c r="A130" s="253" t="s">
        <v>537</v>
      </c>
      <c r="B130" s="254" t="s">
        <v>541</v>
      </c>
      <c r="C130" s="223">
        <v>2</v>
      </c>
      <c r="D130" s="293">
        <v>0</v>
      </c>
      <c r="E130" s="223">
        <v>0</v>
      </c>
      <c r="F130" s="265">
        <f t="shared" si="15"/>
        <v>0</v>
      </c>
      <c r="G130" s="191" t="e">
        <f t="shared" si="16"/>
        <v>#DIV/0!</v>
      </c>
      <c r="H130" s="189"/>
    </row>
    <row r="131" spans="1:8" s="1" customFormat="1" ht="35.25" customHeight="1">
      <c r="A131" s="185" t="s">
        <v>4</v>
      </c>
      <c r="B131" s="186">
        <v>1100</v>
      </c>
      <c r="C131" s="234">
        <f>C21+C22-C44-C97</f>
        <v>-4175</v>
      </c>
      <c r="D131" s="342">
        <f>D21+D22-D44-D90-D97</f>
        <v>0</v>
      </c>
      <c r="E131" s="233">
        <f>E21+E22-E44-E90-E97</f>
        <v>655</v>
      </c>
      <c r="F131" s="264">
        <f t="shared" si="15"/>
        <v>655</v>
      </c>
      <c r="G131" s="234" t="e">
        <f t="shared" si="16"/>
        <v>#DIV/0!</v>
      </c>
      <c r="H131" s="235"/>
    </row>
    <row r="132" spans="1:8" s="1" customFormat="1" ht="45" customHeight="1">
      <c r="A132" s="192" t="s">
        <v>90</v>
      </c>
      <c r="B132" s="194">
        <v>1110</v>
      </c>
      <c r="C132" s="169">
        <v>0</v>
      </c>
      <c r="D132" s="293">
        <v>0</v>
      </c>
      <c r="E132" s="223"/>
      <c r="F132" s="265">
        <f t="shared" si="15"/>
        <v>0</v>
      </c>
      <c r="G132" s="191" t="e">
        <f t="shared" si="16"/>
        <v>#DIV/0!</v>
      </c>
      <c r="H132" s="192"/>
    </row>
    <row r="133" spans="1:8" s="1" customFormat="1" ht="45.75" customHeight="1">
      <c r="A133" s="192" t="s">
        <v>91</v>
      </c>
      <c r="B133" s="194">
        <v>1120</v>
      </c>
      <c r="C133" s="169"/>
      <c r="D133" s="293">
        <v>0</v>
      </c>
      <c r="E133" s="223"/>
      <c r="F133" s="265">
        <f t="shared" si="15"/>
        <v>0</v>
      </c>
      <c r="G133" s="191" t="e">
        <f t="shared" si="16"/>
        <v>#DIV/0!</v>
      </c>
      <c r="H133" s="192"/>
    </row>
    <row r="134" spans="1:8" s="3" customFormat="1">
      <c r="A134" s="192" t="s">
        <v>94</v>
      </c>
      <c r="B134" s="194">
        <v>1130</v>
      </c>
      <c r="C134" s="169">
        <v>0</v>
      </c>
      <c r="D134" s="293">
        <v>0</v>
      </c>
      <c r="E134" s="223"/>
      <c r="F134" s="265">
        <f t="shared" si="15"/>
        <v>0</v>
      </c>
      <c r="G134" s="191" t="e">
        <f t="shared" si="16"/>
        <v>#DIV/0!</v>
      </c>
      <c r="H134" s="192"/>
    </row>
    <row r="135" spans="1:8">
      <c r="A135" s="192" t="s">
        <v>93</v>
      </c>
      <c r="B135" s="194">
        <v>1140</v>
      </c>
      <c r="C135" s="169">
        <v>0</v>
      </c>
      <c r="D135" s="223">
        <v>0</v>
      </c>
      <c r="E135" s="223">
        <v>2646</v>
      </c>
      <c r="F135" s="265">
        <f t="shared" si="15"/>
        <v>2646</v>
      </c>
      <c r="G135" s="191" t="e">
        <f t="shared" si="16"/>
        <v>#DIV/0!</v>
      </c>
      <c r="H135" s="192"/>
    </row>
    <row r="136" spans="1:8" ht="35.25" customHeight="1">
      <c r="A136" s="185" t="s">
        <v>179</v>
      </c>
      <c r="B136" s="186">
        <v>1150</v>
      </c>
      <c r="C136" s="234">
        <f>C137</f>
        <v>0</v>
      </c>
      <c r="D136" s="343">
        <f>D137+D138</f>
        <v>0</v>
      </c>
      <c r="E136" s="340">
        <f>E137+E138</f>
        <v>0</v>
      </c>
      <c r="F136" s="264">
        <f t="shared" si="15"/>
        <v>0</v>
      </c>
      <c r="G136" s="234" t="e">
        <f t="shared" si="16"/>
        <v>#DIV/0!</v>
      </c>
      <c r="H136" s="237"/>
    </row>
    <row r="137" spans="1:8" ht="37.5">
      <c r="A137" s="192" t="s">
        <v>322</v>
      </c>
      <c r="B137" s="85" t="s">
        <v>321</v>
      </c>
      <c r="C137" s="169"/>
      <c r="D137" s="293">
        <v>0</v>
      </c>
      <c r="E137" s="223"/>
      <c r="F137" s="265">
        <f t="shared" si="15"/>
        <v>0</v>
      </c>
      <c r="G137" s="191" t="e">
        <f t="shared" si="16"/>
        <v>#DIV/0!</v>
      </c>
      <c r="H137" s="192"/>
    </row>
    <row r="138" spans="1:8" ht="36.75" customHeight="1">
      <c r="A138" s="192" t="s">
        <v>178</v>
      </c>
      <c r="B138" s="194">
        <v>1151</v>
      </c>
      <c r="C138" s="169">
        <v>0</v>
      </c>
      <c r="D138" s="293">
        <v>0</v>
      </c>
      <c r="E138" s="223"/>
      <c r="F138" s="265">
        <f t="shared" si="15"/>
        <v>0</v>
      </c>
      <c r="G138" s="191" t="e">
        <f t="shared" si="16"/>
        <v>#DIV/0!</v>
      </c>
      <c r="H138" s="192"/>
    </row>
    <row r="139" spans="1:8" ht="37.5">
      <c r="A139" s="193" t="s">
        <v>180</v>
      </c>
      <c r="B139" s="198">
        <v>1160</v>
      </c>
      <c r="C139" s="82">
        <f>C140</f>
        <v>0</v>
      </c>
      <c r="D139" s="294">
        <v>0</v>
      </c>
      <c r="E139" s="82">
        <f>E140</f>
        <v>0</v>
      </c>
      <c r="F139" s="265">
        <f t="shared" ref="F139:F154" si="17">E139-D139</f>
        <v>0</v>
      </c>
      <c r="G139" s="191" t="e">
        <f t="shared" ref="G139:G154" si="18">E139/D139*100</f>
        <v>#DIV/0!</v>
      </c>
      <c r="H139" s="192"/>
    </row>
    <row r="140" spans="1:8">
      <c r="A140" s="192" t="s">
        <v>323</v>
      </c>
      <c r="B140" s="85" t="s">
        <v>258</v>
      </c>
      <c r="C140" s="169"/>
      <c r="D140" s="293">
        <v>0</v>
      </c>
      <c r="E140" s="223"/>
      <c r="F140" s="265">
        <f t="shared" si="17"/>
        <v>0</v>
      </c>
      <c r="G140" s="191" t="e">
        <f t="shared" si="18"/>
        <v>#DIV/0!</v>
      </c>
      <c r="H140" s="192"/>
    </row>
    <row r="141" spans="1:8" ht="36.75" customHeight="1">
      <c r="A141" s="192" t="s">
        <v>178</v>
      </c>
      <c r="B141" s="194">
        <v>1161</v>
      </c>
      <c r="C141" s="187">
        <v>0</v>
      </c>
      <c r="D141" s="293">
        <v>0</v>
      </c>
      <c r="E141" s="223"/>
      <c r="F141" s="265">
        <f t="shared" si="17"/>
        <v>0</v>
      </c>
      <c r="G141" s="191" t="e">
        <f t="shared" si="18"/>
        <v>#DIV/0!</v>
      </c>
      <c r="H141" s="192"/>
    </row>
    <row r="142" spans="1:8">
      <c r="A142" s="185" t="s">
        <v>80</v>
      </c>
      <c r="B142" s="186">
        <v>1170</v>
      </c>
      <c r="C142" s="233">
        <f>C131+C132+C133+C136-C135-C134-C139</f>
        <v>-4175</v>
      </c>
      <c r="D142" s="342">
        <f>D131+D132+D133+D136-D135-D134-D139</f>
        <v>0</v>
      </c>
      <c r="E142" s="233">
        <f>E131+E132+E133+E136-E135-E134-E139</f>
        <v>-1991</v>
      </c>
      <c r="F142" s="264">
        <f t="shared" si="17"/>
        <v>-1991</v>
      </c>
      <c r="G142" s="234" t="e">
        <f t="shared" si="18"/>
        <v>#DIV/0!</v>
      </c>
      <c r="H142" s="237"/>
    </row>
    <row r="143" spans="1:8">
      <c r="A143" s="192" t="s">
        <v>111</v>
      </c>
      <c r="B143" s="194">
        <v>1180</v>
      </c>
      <c r="C143" s="169">
        <v>0</v>
      </c>
      <c r="D143" s="293">
        <v>0</v>
      </c>
      <c r="E143" s="223"/>
      <c r="F143" s="265">
        <f t="shared" si="17"/>
        <v>0</v>
      </c>
      <c r="G143" s="191" t="e">
        <f t="shared" si="18"/>
        <v>#DIV/0!</v>
      </c>
      <c r="H143" s="192"/>
    </row>
    <row r="144" spans="1:8" ht="34.5" customHeight="1">
      <c r="A144" s="192" t="s">
        <v>112</v>
      </c>
      <c r="B144" s="194">
        <v>1190</v>
      </c>
      <c r="C144" s="169">
        <v>0</v>
      </c>
      <c r="D144" s="293">
        <v>0</v>
      </c>
      <c r="E144" s="223"/>
      <c r="F144" s="265">
        <f t="shared" si="17"/>
        <v>0</v>
      </c>
      <c r="G144" s="191" t="e">
        <f t="shared" si="18"/>
        <v>#DIV/0!</v>
      </c>
      <c r="H144" s="192"/>
    </row>
    <row r="145" spans="1:8" s="3" customFormat="1" ht="37.5">
      <c r="A145" s="185" t="s">
        <v>81</v>
      </c>
      <c r="B145" s="186">
        <v>1200</v>
      </c>
      <c r="C145" s="234">
        <f>C142</f>
        <v>-4175</v>
      </c>
      <c r="D145" s="342">
        <f>D142-D143-D144</f>
        <v>0</v>
      </c>
      <c r="E145" s="233">
        <f>E142-E143-E144</f>
        <v>-1991</v>
      </c>
      <c r="F145" s="264">
        <f t="shared" si="17"/>
        <v>-1991</v>
      </c>
      <c r="G145" s="234" t="e">
        <f t="shared" si="18"/>
        <v>#DIV/0!</v>
      </c>
      <c r="H145" s="235"/>
    </row>
    <row r="146" spans="1:8" ht="40.5" customHeight="1">
      <c r="A146" s="192" t="s">
        <v>24</v>
      </c>
      <c r="B146" s="85">
        <v>1201</v>
      </c>
      <c r="C146" s="323">
        <f>SUMIF(C145,"&gt;0")</f>
        <v>0</v>
      </c>
      <c r="D146" s="295">
        <f>SUMIF(D145,"&gt;0")</f>
        <v>0</v>
      </c>
      <c r="E146" s="307">
        <f>SUMIF(E145,"&gt;0")</f>
        <v>0</v>
      </c>
      <c r="F146" s="265">
        <f t="shared" si="17"/>
        <v>0</v>
      </c>
      <c r="G146" s="191" t="e">
        <f t="shared" si="18"/>
        <v>#DIV/0!</v>
      </c>
      <c r="H146" s="192"/>
    </row>
    <row r="147" spans="1:8">
      <c r="A147" s="192" t="s">
        <v>25</v>
      </c>
      <c r="B147" s="85">
        <v>1202</v>
      </c>
      <c r="C147" s="323">
        <f>SUMIF(C145,"&lt;0")</f>
        <v>-4175</v>
      </c>
      <c r="D147" s="295">
        <f>SUMIF(D145,"&lt;0")</f>
        <v>0</v>
      </c>
      <c r="E147" s="307">
        <f>SUMIF(E145,"&lt;0")</f>
        <v>-1991</v>
      </c>
      <c r="F147" s="265">
        <f t="shared" si="17"/>
        <v>-1991</v>
      </c>
      <c r="G147" s="191" t="e">
        <f t="shared" si="18"/>
        <v>#DIV/0!</v>
      </c>
      <c r="H147" s="192"/>
    </row>
    <row r="148" spans="1:8" s="3" customFormat="1">
      <c r="A148" s="192" t="s">
        <v>199</v>
      </c>
      <c r="B148" s="194">
        <v>1210</v>
      </c>
      <c r="C148" s="202">
        <v>0</v>
      </c>
      <c r="D148" s="293">
        <v>0</v>
      </c>
      <c r="E148" s="223"/>
      <c r="F148" s="265">
        <f t="shared" si="17"/>
        <v>0</v>
      </c>
      <c r="G148" s="191" t="e">
        <f t="shared" si="18"/>
        <v>#DIV/0!</v>
      </c>
      <c r="H148" s="192"/>
    </row>
    <row r="149" spans="1:8" ht="39" customHeight="1">
      <c r="A149" s="203" t="s">
        <v>221</v>
      </c>
      <c r="B149" s="204"/>
      <c r="C149" s="204"/>
      <c r="D149" s="204"/>
      <c r="E149" s="314"/>
      <c r="F149" s="265">
        <f t="shared" si="17"/>
        <v>0</v>
      </c>
      <c r="G149" s="191" t="e">
        <f t="shared" si="18"/>
        <v>#DIV/0!</v>
      </c>
      <c r="H149" s="205"/>
    </row>
    <row r="150" spans="1:8" ht="46.5" customHeight="1">
      <c r="A150" s="206" t="s">
        <v>214</v>
      </c>
      <c r="B150" s="85">
        <v>1300</v>
      </c>
      <c r="C150" s="345">
        <f>C22-C97</f>
        <v>141795</v>
      </c>
      <c r="D150" s="344">
        <f>D22-D97</f>
        <v>186345</v>
      </c>
      <c r="E150" s="339">
        <f>E22-E97</f>
        <v>175746</v>
      </c>
      <c r="F150" s="264">
        <f t="shared" si="17"/>
        <v>-10599</v>
      </c>
      <c r="G150" s="234">
        <f t="shared" si="18"/>
        <v>94.312162923609435</v>
      </c>
      <c r="H150" s="237"/>
    </row>
    <row r="151" spans="1:8" ht="58.5" customHeight="1">
      <c r="A151" s="192" t="s">
        <v>208</v>
      </c>
      <c r="B151" s="85">
        <v>1310</v>
      </c>
      <c r="C151" s="236">
        <v>0</v>
      </c>
      <c r="D151" s="344">
        <f>D132+D133-D134-D135</f>
        <v>0</v>
      </c>
      <c r="E151" s="339">
        <f>E132+E133-E134-E135</f>
        <v>-2646</v>
      </c>
      <c r="F151" s="264">
        <f t="shared" si="17"/>
        <v>-2646</v>
      </c>
      <c r="G151" s="234" t="e">
        <f t="shared" si="18"/>
        <v>#DIV/0!</v>
      </c>
      <c r="H151" s="237"/>
    </row>
    <row r="152" spans="1:8" s="3" customFormat="1" ht="33" customHeight="1">
      <c r="A152" s="206" t="s">
        <v>209</v>
      </c>
      <c r="B152" s="85">
        <v>1320</v>
      </c>
      <c r="C152" s="339">
        <f>C136+C139</f>
        <v>0</v>
      </c>
      <c r="D152" s="344">
        <f>D136-D139</f>
        <v>0</v>
      </c>
      <c r="E152" s="339">
        <f>E136+E139</f>
        <v>0</v>
      </c>
      <c r="F152" s="264">
        <f t="shared" si="17"/>
        <v>0</v>
      </c>
      <c r="G152" s="234" t="e">
        <f t="shared" si="18"/>
        <v>#DIV/0!</v>
      </c>
      <c r="H152" s="237"/>
    </row>
    <row r="153" spans="1:8" ht="42.75" customHeight="1">
      <c r="A153" s="207" t="s">
        <v>247</v>
      </c>
      <c r="B153" s="194">
        <v>1330</v>
      </c>
      <c r="C153" s="339">
        <f>C7+C22+C132+C133+C136</f>
        <v>163260</v>
      </c>
      <c r="D153" s="339">
        <f>D7+D22+D132+D133+D136</f>
        <v>210848</v>
      </c>
      <c r="E153" s="339">
        <f>E7+E22+E132+E133+E136</f>
        <v>193289</v>
      </c>
      <c r="F153" s="264">
        <f t="shared" si="17"/>
        <v>-17559</v>
      </c>
      <c r="G153" s="234">
        <f t="shared" si="18"/>
        <v>91.672199878585531</v>
      </c>
      <c r="H153" s="237"/>
    </row>
    <row r="154" spans="1:8" ht="54" customHeight="1">
      <c r="A154" s="207" t="s">
        <v>248</v>
      </c>
      <c r="B154" s="194">
        <v>1340</v>
      </c>
      <c r="C154" s="339">
        <f>C9+C44+C90+C97+C134+C135+C139+C143+C144</f>
        <v>167435</v>
      </c>
      <c r="D154" s="339">
        <f>D9+D44+D90+D97+D134+D135+D139+D143+D144</f>
        <v>210848</v>
      </c>
      <c r="E154" s="339">
        <f>E9+E44+E90+E97+E134+E135+E139+E143+E144</f>
        <v>195280</v>
      </c>
      <c r="F154" s="264">
        <f t="shared" si="17"/>
        <v>-15568</v>
      </c>
      <c r="G154" s="234">
        <f t="shared" si="18"/>
        <v>92.616482015480344</v>
      </c>
      <c r="H154" s="237"/>
    </row>
    <row r="155" spans="1:8" ht="39" customHeight="1">
      <c r="A155" s="203" t="s">
        <v>140</v>
      </c>
      <c r="B155" s="204"/>
      <c r="C155" s="204"/>
      <c r="D155" s="204"/>
      <c r="E155" s="315"/>
      <c r="F155" s="191"/>
      <c r="G155" s="191"/>
      <c r="H155" s="205"/>
    </row>
    <row r="156" spans="1:8" ht="37.5">
      <c r="A156" s="207" t="s">
        <v>210</v>
      </c>
      <c r="B156" s="194">
        <v>1400</v>
      </c>
      <c r="C156" s="346">
        <f>C131</f>
        <v>-4175</v>
      </c>
      <c r="D156" s="339">
        <f>D131</f>
        <v>0</v>
      </c>
      <c r="E156" s="339">
        <f>E131</f>
        <v>655</v>
      </c>
      <c r="F156" s="264">
        <f t="shared" ref="F156:F161" si="19">E156-D156</f>
        <v>655</v>
      </c>
      <c r="G156" s="234" t="e">
        <f t="shared" ref="G156:G161" si="20">E156/D156*100</f>
        <v>#DIV/0!</v>
      </c>
      <c r="H156" s="237"/>
    </row>
    <row r="157" spans="1:8">
      <c r="A157" s="207" t="s">
        <v>211</v>
      </c>
      <c r="B157" s="194">
        <v>1401</v>
      </c>
      <c r="C157" s="236">
        <f>C168</f>
        <v>6323</v>
      </c>
      <c r="D157" s="339">
        <f>D168</f>
        <v>7507</v>
      </c>
      <c r="E157" s="339">
        <f>E168</f>
        <v>8824</v>
      </c>
      <c r="F157" s="264">
        <f t="shared" si="19"/>
        <v>1317</v>
      </c>
      <c r="G157" s="234">
        <f t="shared" si="20"/>
        <v>117.54362594911416</v>
      </c>
      <c r="H157" s="237"/>
    </row>
    <row r="158" spans="1:8" ht="37.5" customHeight="1">
      <c r="A158" s="207" t="s">
        <v>212</v>
      </c>
      <c r="B158" s="194">
        <v>1402</v>
      </c>
      <c r="C158" s="339">
        <f>C43</f>
        <v>0</v>
      </c>
      <c r="D158" s="339">
        <f>D43</f>
        <v>0</v>
      </c>
      <c r="E158" s="339">
        <f>E43</f>
        <v>0</v>
      </c>
      <c r="F158" s="264">
        <f t="shared" si="19"/>
        <v>0</v>
      </c>
      <c r="G158" s="234" t="e">
        <f t="shared" si="20"/>
        <v>#DIV/0!</v>
      </c>
      <c r="H158" s="237"/>
    </row>
    <row r="159" spans="1:8" ht="37.5">
      <c r="A159" s="207" t="s">
        <v>213</v>
      </c>
      <c r="B159" s="194">
        <v>1403</v>
      </c>
      <c r="C159" s="339">
        <f>C101</f>
        <v>0</v>
      </c>
      <c r="D159" s="339">
        <f>D101</f>
        <v>0</v>
      </c>
      <c r="E159" s="339">
        <f>E101</f>
        <v>0</v>
      </c>
      <c r="F159" s="264">
        <f t="shared" si="19"/>
        <v>0</v>
      </c>
      <c r="G159" s="234" t="e">
        <f t="shared" si="20"/>
        <v>#DIV/0!</v>
      </c>
      <c r="H159" s="237"/>
    </row>
    <row r="160" spans="1:8" ht="37.5">
      <c r="A160" s="207" t="s">
        <v>235</v>
      </c>
      <c r="B160" s="194">
        <v>1404</v>
      </c>
      <c r="C160" s="236">
        <v>0</v>
      </c>
      <c r="D160" s="341">
        <v>0</v>
      </c>
      <c r="E160" s="341">
        <v>0</v>
      </c>
      <c r="F160" s="264">
        <f t="shared" si="19"/>
        <v>0</v>
      </c>
      <c r="G160" s="234" t="e">
        <f t="shared" si="20"/>
        <v>#DIV/0!</v>
      </c>
      <c r="H160" s="237"/>
    </row>
    <row r="161" spans="1:9">
      <c r="A161" s="208" t="s">
        <v>115</v>
      </c>
      <c r="B161" s="209">
        <v>1410</v>
      </c>
      <c r="C161" s="233">
        <f>C156+C157-C158+C159+C160</f>
        <v>2148</v>
      </c>
      <c r="D161" s="233">
        <f>D156+D157-D158+D159</f>
        <v>7507</v>
      </c>
      <c r="E161" s="233">
        <f>E156+E157-E158+E159</f>
        <v>9479</v>
      </c>
      <c r="F161" s="264">
        <f t="shared" si="19"/>
        <v>1972</v>
      </c>
      <c r="G161" s="234">
        <f t="shared" si="20"/>
        <v>126.26881577194618</v>
      </c>
      <c r="H161" s="235"/>
    </row>
    <row r="162" spans="1:9">
      <c r="A162" s="203" t="s">
        <v>194</v>
      </c>
      <c r="B162" s="204"/>
      <c r="C162" s="204"/>
      <c r="D162" s="204"/>
      <c r="E162" s="315"/>
      <c r="F162" s="191"/>
      <c r="G162" s="191"/>
      <c r="H162" s="205"/>
    </row>
    <row r="163" spans="1:9" ht="28.5" customHeight="1">
      <c r="A163" s="207" t="s">
        <v>222</v>
      </c>
      <c r="B163" s="210">
        <v>1500</v>
      </c>
      <c r="C163" s="341">
        <v>35235</v>
      </c>
      <c r="D163" s="341">
        <f t="shared" ref="D163" si="21">D164+D165</f>
        <v>55899</v>
      </c>
      <c r="E163" s="341">
        <f>E164+E165</f>
        <v>53067</v>
      </c>
      <c r="F163" s="266">
        <f t="shared" ref="F163:F170" si="22">E163-D163</f>
        <v>-2832</v>
      </c>
      <c r="G163" s="236">
        <f t="shared" ref="G163:G170" si="23">E163/D163*100</f>
        <v>94.93371974453926</v>
      </c>
      <c r="H163" s="237"/>
    </row>
    <row r="164" spans="1:9" s="3" customFormat="1" ht="35.25" customHeight="1">
      <c r="A164" s="207" t="s">
        <v>220</v>
      </c>
      <c r="B164" s="84">
        <v>1501</v>
      </c>
      <c r="C164" s="341">
        <v>6485</v>
      </c>
      <c r="D164" s="341">
        <v>9314</v>
      </c>
      <c r="E164" s="341">
        <f>E10+E15+E17+E46+E71+E75+E104-7</f>
        <v>7093</v>
      </c>
      <c r="F164" s="266">
        <f t="shared" si="22"/>
        <v>-2221</v>
      </c>
      <c r="G164" s="236">
        <f t="shared" si="23"/>
        <v>76.154176508481854</v>
      </c>
      <c r="H164" s="237"/>
      <c r="I164" s="255"/>
    </row>
    <row r="165" spans="1:9" ht="20.100000000000001" customHeight="1">
      <c r="A165" s="207" t="s">
        <v>28</v>
      </c>
      <c r="B165" s="84">
        <v>1502</v>
      </c>
      <c r="C165" s="341">
        <v>28750</v>
      </c>
      <c r="D165" s="341">
        <v>46585</v>
      </c>
      <c r="E165" s="341">
        <f>E11+E12+E19+E72+E73+E47</f>
        <v>45974</v>
      </c>
      <c r="F165" s="266">
        <f t="shared" si="22"/>
        <v>-611</v>
      </c>
      <c r="G165" s="236">
        <f t="shared" si="23"/>
        <v>98.688419018997536</v>
      </c>
      <c r="H165" s="237"/>
      <c r="I165" s="242"/>
    </row>
    <row r="166" spans="1:9" ht="20.100000000000001" customHeight="1">
      <c r="A166" s="207" t="s">
        <v>5</v>
      </c>
      <c r="B166" s="210">
        <v>1510</v>
      </c>
      <c r="C166" s="341">
        <v>93063</v>
      </c>
      <c r="D166" s="341">
        <v>107458</v>
      </c>
      <c r="E166" s="341">
        <f>E13+E48+E58+E93+E106-E107+E108-E109+E110-E111+E120-E121+E124+E127-E128+E129-E130</f>
        <v>105410</v>
      </c>
      <c r="F166" s="266">
        <f t="shared" si="22"/>
        <v>-2048</v>
      </c>
      <c r="G166" s="236">
        <f t="shared" si="23"/>
        <v>98.09413910551099</v>
      </c>
      <c r="H166" s="237"/>
      <c r="I166" s="242"/>
    </row>
    <row r="167" spans="1:9" ht="21" customHeight="1">
      <c r="A167" s="207" t="s">
        <v>6</v>
      </c>
      <c r="B167" s="210">
        <v>1520</v>
      </c>
      <c r="C167" s="341">
        <v>18163</v>
      </c>
      <c r="D167" s="341">
        <v>23145</v>
      </c>
      <c r="E167" s="341">
        <f>E14+E49+E59+E107+E109+E111+E121+E125+E126+E128+E130</f>
        <v>20711</v>
      </c>
      <c r="F167" s="266">
        <f t="shared" si="22"/>
        <v>-2434</v>
      </c>
      <c r="G167" s="236">
        <f t="shared" si="23"/>
        <v>89.483689781810327</v>
      </c>
      <c r="H167" s="237"/>
      <c r="I167" s="242"/>
    </row>
    <row r="168" spans="1:9" ht="20.100000000000001" customHeight="1">
      <c r="A168" s="207" t="s">
        <v>7</v>
      </c>
      <c r="B168" s="210">
        <v>1530</v>
      </c>
      <c r="C168" s="341">
        <v>6323</v>
      </c>
      <c r="D168" s="341">
        <v>7507</v>
      </c>
      <c r="E168" s="341">
        <f>E16+E60+E94+E50+E113</f>
        <v>8824</v>
      </c>
      <c r="F168" s="266">
        <f t="shared" si="22"/>
        <v>1317</v>
      </c>
      <c r="G168" s="236">
        <f t="shared" si="23"/>
        <v>117.54362594911416</v>
      </c>
      <c r="H168" s="237"/>
    </row>
    <row r="169" spans="1:9" ht="20.100000000000001" customHeight="1">
      <c r="A169" s="207" t="s">
        <v>29</v>
      </c>
      <c r="B169" s="210">
        <v>1540</v>
      </c>
      <c r="C169" s="341">
        <v>10958</v>
      </c>
      <c r="D169" s="341">
        <v>16589</v>
      </c>
      <c r="E169" s="341">
        <f>277345-E163-E166-E167-E168</f>
        <v>89333</v>
      </c>
      <c r="F169" s="266">
        <f t="shared" si="22"/>
        <v>72744</v>
      </c>
      <c r="G169" s="236">
        <f t="shared" si="23"/>
        <v>538.50744469226595</v>
      </c>
      <c r="H169" s="237"/>
    </row>
    <row r="170" spans="1:9" ht="20.100000000000001" customHeight="1">
      <c r="A170" s="208" t="s">
        <v>54</v>
      </c>
      <c r="B170" s="209">
        <v>1550</v>
      </c>
      <c r="C170" s="347">
        <v>163742</v>
      </c>
      <c r="D170" s="233">
        <f t="shared" ref="D170" si="24">SUM(D163,D166:D169)</f>
        <v>210598</v>
      </c>
      <c r="E170" s="347">
        <f>E163+E166+E167+E168+E169</f>
        <v>277345</v>
      </c>
      <c r="F170" s="266">
        <f t="shared" si="22"/>
        <v>66747</v>
      </c>
      <c r="G170" s="236">
        <f t="shared" si="23"/>
        <v>131.69403318170163</v>
      </c>
      <c r="H170" s="235"/>
    </row>
    <row r="171" spans="1:9" ht="20.100000000000001" customHeight="1">
      <c r="A171" s="62"/>
      <c r="B171" s="66"/>
      <c r="C171" s="170"/>
      <c r="D171" s="67"/>
      <c r="E171" s="67"/>
      <c r="F171" s="67"/>
      <c r="G171" s="67"/>
      <c r="H171" s="68"/>
    </row>
    <row r="172" spans="1:9" s="242" customFormat="1" ht="20.25" customHeight="1" thickBot="1">
      <c r="A172" s="62" t="s">
        <v>497</v>
      </c>
      <c r="B172" s="63"/>
      <c r="C172" s="221"/>
      <c r="D172" s="64"/>
      <c r="E172" s="285"/>
      <c r="F172" s="285" t="s">
        <v>620</v>
      </c>
      <c r="G172" s="285"/>
    </row>
    <row r="173" spans="1:9" s="1" customFormat="1" ht="21" customHeight="1">
      <c r="A173" s="216" t="s">
        <v>66</v>
      </c>
      <c r="B173" s="50"/>
      <c r="C173" s="104" t="s">
        <v>491</v>
      </c>
      <c r="D173" s="65"/>
      <c r="E173" s="284"/>
      <c r="F173" s="284" t="s">
        <v>593</v>
      </c>
      <c r="G173" s="284"/>
    </row>
    <row r="174" spans="1:9" s="3" customFormat="1" ht="20.100000000000001" customHeight="1">
      <c r="A174" s="2"/>
      <c r="C174" s="242"/>
      <c r="D174" s="331"/>
      <c r="E174" s="242"/>
      <c r="F174" s="2"/>
      <c r="G174" s="2"/>
      <c r="H174" s="50"/>
    </row>
    <row r="175" spans="1:9" s="3" customFormat="1" ht="15.75" customHeight="1">
      <c r="A175" s="1"/>
      <c r="B175" s="12"/>
      <c r="C175" s="218"/>
      <c r="D175" s="89"/>
      <c r="E175" s="1"/>
      <c r="F175" s="1"/>
      <c r="G175" s="1"/>
      <c r="H175" s="69"/>
    </row>
    <row r="176" spans="1:9" ht="16.5" customHeight="1">
      <c r="A176" s="14"/>
      <c r="C176" s="171"/>
      <c r="D176" s="15"/>
      <c r="E176" s="15"/>
      <c r="F176" s="15"/>
      <c r="G176" s="15"/>
    </row>
    <row r="177" spans="1:7">
      <c r="A177" s="14"/>
      <c r="C177" s="171"/>
      <c r="D177" s="15"/>
      <c r="E177" s="15"/>
      <c r="F177" s="15"/>
      <c r="G177" s="15"/>
    </row>
    <row r="178" spans="1:7">
      <c r="A178" s="14"/>
      <c r="C178" s="171"/>
      <c r="D178" s="15"/>
      <c r="E178" s="15"/>
      <c r="F178" s="15"/>
      <c r="G178" s="15"/>
    </row>
    <row r="179" spans="1:7">
      <c r="A179" s="14"/>
      <c r="C179" s="171"/>
      <c r="D179" s="15"/>
      <c r="E179" s="15"/>
      <c r="F179" s="15"/>
      <c r="G179" s="15"/>
    </row>
    <row r="180" spans="1:7">
      <c r="A180" s="14"/>
      <c r="C180" s="171"/>
      <c r="D180" s="15"/>
      <c r="E180" s="15"/>
      <c r="F180" s="15"/>
      <c r="G180" s="15"/>
    </row>
    <row r="181" spans="1:7">
      <c r="A181" s="14"/>
      <c r="C181" s="171"/>
      <c r="D181" s="15"/>
      <c r="E181" s="15"/>
      <c r="F181" s="15"/>
      <c r="G181" s="15"/>
    </row>
    <row r="182" spans="1:7">
      <c r="A182" s="14"/>
      <c r="C182" s="171"/>
      <c r="D182" s="15"/>
      <c r="E182" s="15"/>
      <c r="F182" s="15"/>
      <c r="G182" s="15"/>
    </row>
    <row r="183" spans="1:7">
      <c r="A183" s="14"/>
      <c r="C183" s="171"/>
      <c r="D183" s="15"/>
      <c r="E183" s="15"/>
      <c r="F183" s="15"/>
      <c r="G183" s="15"/>
    </row>
    <row r="184" spans="1:7">
      <c r="A184" s="14"/>
      <c r="C184" s="171"/>
      <c r="D184" s="15"/>
      <c r="E184" s="15"/>
      <c r="F184" s="15"/>
      <c r="G184" s="15"/>
    </row>
    <row r="185" spans="1:7">
      <c r="A185" s="14"/>
      <c r="C185" s="171"/>
      <c r="D185" s="15"/>
      <c r="E185" s="15"/>
      <c r="F185" s="15"/>
      <c r="G185" s="15"/>
    </row>
    <row r="186" spans="1:7">
      <c r="A186" s="14"/>
      <c r="C186" s="171"/>
      <c r="D186" s="15"/>
      <c r="E186" s="15"/>
      <c r="F186" s="15"/>
      <c r="G186" s="15"/>
    </row>
    <row r="187" spans="1:7">
      <c r="A187" s="14"/>
      <c r="C187" s="171"/>
      <c r="D187" s="15"/>
      <c r="E187" s="15"/>
      <c r="F187" s="15"/>
      <c r="G187" s="15"/>
    </row>
    <row r="188" spans="1:7">
      <c r="A188" s="14"/>
      <c r="C188" s="171"/>
      <c r="D188" s="15"/>
      <c r="E188" s="15"/>
      <c r="F188" s="15"/>
      <c r="G188" s="15"/>
    </row>
    <row r="189" spans="1:7">
      <c r="A189" s="14"/>
      <c r="C189" s="171"/>
      <c r="D189" s="15"/>
      <c r="E189" s="15"/>
      <c r="F189" s="15"/>
      <c r="G189" s="15"/>
    </row>
    <row r="190" spans="1:7">
      <c r="A190" s="14"/>
      <c r="C190" s="171"/>
      <c r="D190" s="15"/>
      <c r="E190" s="15"/>
      <c r="F190" s="15"/>
      <c r="G190" s="15"/>
    </row>
    <row r="191" spans="1:7">
      <c r="A191" s="14"/>
      <c r="C191" s="171"/>
      <c r="D191" s="15"/>
      <c r="E191" s="15"/>
      <c r="F191" s="15"/>
      <c r="G191" s="15"/>
    </row>
    <row r="192" spans="1:7">
      <c r="A192" s="14"/>
      <c r="C192" s="171"/>
      <c r="D192" s="15"/>
      <c r="E192" s="15"/>
      <c r="F192" s="15"/>
      <c r="G192" s="15"/>
    </row>
    <row r="193" spans="1:7">
      <c r="A193" s="14"/>
      <c r="C193" s="171"/>
      <c r="D193" s="15"/>
      <c r="E193" s="15"/>
      <c r="F193" s="15"/>
      <c r="G193" s="15"/>
    </row>
    <row r="194" spans="1:7">
      <c r="A194" s="14"/>
      <c r="C194" s="171"/>
      <c r="D194" s="15"/>
      <c r="E194" s="15"/>
      <c r="F194" s="15"/>
      <c r="G194" s="15"/>
    </row>
    <row r="195" spans="1:7">
      <c r="A195" s="14"/>
      <c r="C195" s="171"/>
      <c r="D195" s="15"/>
      <c r="E195" s="15"/>
      <c r="F195" s="15"/>
      <c r="G195" s="15"/>
    </row>
    <row r="196" spans="1:7">
      <c r="A196" s="14"/>
      <c r="C196" s="171"/>
      <c r="D196" s="15"/>
      <c r="E196" s="15"/>
      <c r="F196" s="15"/>
      <c r="G196" s="15"/>
    </row>
    <row r="197" spans="1:7">
      <c r="A197" s="14"/>
      <c r="C197" s="171"/>
      <c r="D197" s="15"/>
      <c r="E197" s="15"/>
      <c r="F197" s="15"/>
      <c r="G197" s="15"/>
    </row>
    <row r="198" spans="1:7">
      <c r="A198" s="14"/>
      <c r="C198" s="171"/>
      <c r="D198" s="15"/>
      <c r="E198" s="15"/>
      <c r="F198" s="15"/>
      <c r="G198" s="15"/>
    </row>
    <row r="199" spans="1:7">
      <c r="A199" s="14"/>
      <c r="C199" s="171"/>
      <c r="D199" s="15"/>
      <c r="E199" s="15"/>
      <c r="F199" s="15"/>
      <c r="G199" s="15"/>
    </row>
    <row r="200" spans="1:7">
      <c r="A200" s="14"/>
      <c r="C200" s="171"/>
      <c r="D200" s="15"/>
      <c r="E200" s="15"/>
      <c r="F200" s="15"/>
      <c r="G200" s="15"/>
    </row>
    <row r="201" spans="1:7">
      <c r="A201" s="14"/>
      <c r="C201" s="171"/>
      <c r="D201" s="15"/>
      <c r="E201" s="15"/>
      <c r="F201" s="15"/>
      <c r="G201" s="15"/>
    </row>
    <row r="202" spans="1:7">
      <c r="A202" s="14"/>
      <c r="C202" s="171"/>
      <c r="D202" s="15"/>
      <c r="E202" s="15"/>
      <c r="F202" s="15"/>
      <c r="G202" s="15"/>
    </row>
    <row r="203" spans="1:7">
      <c r="A203" s="14"/>
      <c r="C203" s="171"/>
      <c r="D203" s="15"/>
      <c r="E203" s="15"/>
      <c r="F203" s="15"/>
      <c r="G203" s="15"/>
    </row>
    <row r="204" spans="1:7">
      <c r="A204" s="14"/>
      <c r="C204" s="171"/>
      <c r="D204" s="15"/>
      <c r="E204" s="15"/>
      <c r="F204" s="15"/>
      <c r="G204" s="15"/>
    </row>
    <row r="205" spans="1:7">
      <c r="A205" s="14"/>
      <c r="C205" s="171"/>
      <c r="D205" s="15"/>
      <c r="E205" s="15"/>
      <c r="F205" s="15"/>
      <c r="G205" s="15"/>
    </row>
    <row r="206" spans="1:7">
      <c r="A206" s="14"/>
      <c r="C206" s="171"/>
      <c r="D206" s="15"/>
      <c r="E206" s="15"/>
      <c r="F206" s="15"/>
      <c r="G206" s="15"/>
    </row>
    <row r="207" spans="1:7">
      <c r="A207" s="14"/>
      <c r="C207" s="171"/>
      <c r="D207" s="15"/>
      <c r="E207" s="15"/>
      <c r="F207" s="15"/>
      <c r="G207" s="15"/>
    </row>
    <row r="208" spans="1:7">
      <c r="A208" s="14"/>
      <c r="C208" s="171"/>
      <c r="D208" s="15"/>
      <c r="E208" s="15"/>
      <c r="F208" s="15"/>
      <c r="G208" s="15"/>
    </row>
    <row r="209" spans="1:7">
      <c r="A209" s="14"/>
      <c r="C209" s="171"/>
      <c r="D209" s="15"/>
      <c r="E209" s="15"/>
      <c r="F209" s="15"/>
      <c r="G209" s="15"/>
    </row>
    <row r="210" spans="1:7">
      <c r="A210" s="14"/>
      <c r="C210" s="171"/>
      <c r="D210" s="15"/>
      <c r="E210" s="15"/>
      <c r="F210" s="15"/>
      <c r="G210" s="15"/>
    </row>
    <row r="211" spans="1:7">
      <c r="A211" s="14"/>
      <c r="C211" s="171"/>
      <c r="D211" s="15"/>
      <c r="E211" s="15"/>
      <c r="F211" s="15"/>
      <c r="G211" s="15"/>
    </row>
    <row r="212" spans="1:7">
      <c r="A212" s="14"/>
      <c r="C212" s="171"/>
      <c r="D212" s="15"/>
      <c r="E212" s="15"/>
      <c r="F212" s="15"/>
      <c r="G212" s="15"/>
    </row>
    <row r="213" spans="1:7">
      <c r="A213" s="14"/>
      <c r="C213" s="171"/>
      <c r="D213" s="15"/>
      <c r="E213" s="15"/>
      <c r="F213" s="15"/>
      <c r="G213" s="15"/>
    </row>
    <row r="214" spans="1:7">
      <c r="A214" s="14"/>
      <c r="C214" s="171"/>
      <c r="D214" s="15"/>
      <c r="E214" s="15"/>
      <c r="F214" s="15"/>
      <c r="G214" s="15"/>
    </row>
    <row r="215" spans="1:7">
      <c r="A215" s="14"/>
      <c r="C215" s="171"/>
      <c r="D215" s="15"/>
      <c r="E215" s="15"/>
      <c r="F215" s="15"/>
      <c r="G215" s="15"/>
    </row>
    <row r="216" spans="1:7">
      <c r="A216" s="14"/>
      <c r="C216" s="171"/>
      <c r="D216" s="15"/>
      <c r="E216" s="15"/>
      <c r="F216" s="15"/>
      <c r="G216" s="15"/>
    </row>
    <row r="217" spans="1:7">
      <c r="A217" s="14"/>
      <c r="C217" s="171"/>
      <c r="D217" s="15"/>
      <c r="E217" s="15"/>
      <c r="F217" s="15"/>
      <c r="G217" s="15"/>
    </row>
    <row r="218" spans="1:7">
      <c r="A218" s="14"/>
      <c r="C218" s="171"/>
      <c r="D218" s="15"/>
      <c r="E218" s="15"/>
      <c r="F218" s="15"/>
      <c r="G218" s="15"/>
    </row>
    <row r="219" spans="1:7">
      <c r="A219" s="14"/>
      <c r="C219" s="171"/>
      <c r="D219" s="15"/>
      <c r="E219" s="15"/>
      <c r="F219" s="15"/>
      <c r="G219" s="15"/>
    </row>
    <row r="220" spans="1:7">
      <c r="A220" s="14"/>
      <c r="C220" s="171"/>
      <c r="D220" s="15"/>
      <c r="E220" s="15"/>
      <c r="F220" s="15"/>
      <c r="G220" s="15"/>
    </row>
    <row r="221" spans="1:7">
      <c r="A221" s="14"/>
      <c r="C221" s="171"/>
      <c r="D221" s="15"/>
      <c r="E221" s="15"/>
      <c r="F221" s="15"/>
      <c r="G221" s="15"/>
    </row>
    <row r="222" spans="1:7">
      <c r="A222" s="14"/>
      <c r="C222" s="171"/>
      <c r="D222" s="15"/>
      <c r="E222" s="15"/>
      <c r="F222" s="15"/>
      <c r="G222" s="15"/>
    </row>
    <row r="223" spans="1:7">
      <c r="A223" s="14"/>
      <c r="C223" s="171"/>
      <c r="D223" s="15"/>
      <c r="E223" s="15"/>
      <c r="F223" s="15"/>
      <c r="G223" s="15"/>
    </row>
    <row r="224" spans="1:7">
      <c r="A224" s="14"/>
      <c r="C224" s="171"/>
      <c r="D224" s="15"/>
      <c r="E224" s="15"/>
      <c r="F224" s="15"/>
      <c r="G224" s="15"/>
    </row>
    <row r="225" spans="1:7">
      <c r="A225" s="14"/>
      <c r="C225" s="171"/>
      <c r="D225" s="15"/>
      <c r="E225" s="15"/>
      <c r="F225" s="15"/>
      <c r="G225" s="15"/>
    </row>
    <row r="226" spans="1:7">
      <c r="A226" s="14"/>
      <c r="C226" s="171"/>
      <c r="D226" s="15"/>
      <c r="E226" s="15"/>
      <c r="F226" s="15"/>
      <c r="G226" s="15"/>
    </row>
    <row r="227" spans="1:7">
      <c r="A227" s="24"/>
    </row>
    <row r="228" spans="1:7">
      <c r="A228" s="24"/>
    </row>
    <row r="229" spans="1:7">
      <c r="A229" s="24"/>
    </row>
    <row r="230" spans="1:7">
      <c r="A230" s="24"/>
    </row>
    <row r="231" spans="1:7">
      <c r="A231" s="24"/>
    </row>
    <row r="232" spans="1:7">
      <c r="A232" s="24"/>
    </row>
    <row r="233" spans="1:7">
      <c r="A233" s="24"/>
    </row>
    <row r="234" spans="1:7">
      <c r="A234" s="24"/>
    </row>
    <row r="235" spans="1:7">
      <c r="A235" s="24"/>
    </row>
    <row r="236" spans="1:7">
      <c r="A236" s="24"/>
    </row>
    <row r="237" spans="1:7">
      <c r="A237" s="24"/>
    </row>
    <row r="238" spans="1:7">
      <c r="A238" s="24"/>
    </row>
    <row r="239" spans="1:7">
      <c r="A239" s="24"/>
    </row>
    <row r="240" spans="1:7">
      <c r="A240" s="24"/>
    </row>
    <row r="241" spans="1:1">
      <c r="A241" s="24"/>
    </row>
    <row r="242" spans="1:1">
      <c r="A242" s="24"/>
    </row>
    <row r="243" spans="1:1">
      <c r="A243" s="24"/>
    </row>
    <row r="244" spans="1:1">
      <c r="A244" s="24"/>
    </row>
    <row r="245" spans="1:1">
      <c r="A245" s="24"/>
    </row>
    <row r="246" spans="1:1">
      <c r="A246" s="24"/>
    </row>
    <row r="247" spans="1:1">
      <c r="A247" s="24"/>
    </row>
    <row r="248" spans="1:1">
      <c r="A248" s="24"/>
    </row>
    <row r="249" spans="1:1">
      <c r="A249" s="24"/>
    </row>
    <row r="250" spans="1:1">
      <c r="A250" s="24"/>
    </row>
    <row r="251" spans="1:1">
      <c r="A251" s="24"/>
    </row>
    <row r="252" spans="1:1">
      <c r="A252" s="24"/>
    </row>
    <row r="253" spans="1:1">
      <c r="A253" s="24"/>
    </row>
    <row r="254" spans="1:1">
      <c r="A254" s="24"/>
    </row>
    <row r="255" spans="1:1">
      <c r="A255" s="24"/>
    </row>
    <row r="256" spans="1:1">
      <c r="A256" s="24"/>
    </row>
    <row r="257" spans="1:1">
      <c r="A257" s="24"/>
    </row>
    <row r="258" spans="1:1">
      <c r="A258" s="24"/>
    </row>
    <row r="259" spans="1:1">
      <c r="A259" s="24"/>
    </row>
    <row r="260" spans="1:1">
      <c r="A260" s="24"/>
    </row>
    <row r="261" spans="1:1">
      <c r="A261" s="24"/>
    </row>
    <row r="262" spans="1:1">
      <c r="A262" s="24"/>
    </row>
    <row r="263" spans="1:1">
      <c r="A263" s="24"/>
    </row>
    <row r="264" spans="1:1">
      <c r="A264" s="24"/>
    </row>
    <row r="265" spans="1:1">
      <c r="A265" s="24"/>
    </row>
    <row r="266" spans="1:1">
      <c r="A266" s="24"/>
    </row>
    <row r="267" spans="1:1">
      <c r="A267" s="24"/>
    </row>
    <row r="268" spans="1:1">
      <c r="A268" s="24"/>
    </row>
    <row r="269" spans="1:1">
      <c r="A269" s="24"/>
    </row>
    <row r="270" spans="1:1">
      <c r="A270" s="24"/>
    </row>
    <row r="271" spans="1:1">
      <c r="A271" s="24"/>
    </row>
    <row r="272" spans="1:1">
      <c r="A272" s="24"/>
    </row>
    <row r="273" spans="1:1">
      <c r="A273" s="24"/>
    </row>
    <row r="274" spans="1:1">
      <c r="A274" s="24"/>
    </row>
    <row r="275" spans="1:1">
      <c r="A275" s="24"/>
    </row>
    <row r="276" spans="1:1">
      <c r="A276" s="24"/>
    </row>
    <row r="277" spans="1:1">
      <c r="A277" s="24"/>
    </row>
    <row r="278" spans="1:1">
      <c r="A278" s="24"/>
    </row>
    <row r="279" spans="1:1">
      <c r="A279" s="24"/>
    </row>
    <row r="280" spans="1:1">
      <c r="A280" s="24"/>
    </row>
    <row r="281" spans="1:1">
      <c r="A281" s="24"/>
    </row>
    <row r="282" spans="1:1">
      <c r="A282" s="24"/>
    </row>
    <row r="283" spans="1:1">
      <c r="A283" s="24"/>
    </row>
    <row r="284" spans="1:1">
      <c r="A284" s="24"/>
    </row>
    <row r="285" spans="1:1">
      <c r="A285" s="24"/>
    </row>
    <row r="286" spans="1:1">
      <c r="A286" s="24"/>
    </row>
    <row r="287" spans="1:1">
      <c r="A287" s="24"/>
    </row>
    <row r="288" spans="1:1">
      <c r="A288" s="24"/>
    </row>
    <row r="289" spans="1:1">
      <c r="A289" s="24"/>
    </row>
    <row r="290" spans="1:1">
      <c r="A290" s="24"/>
    </row>
    <row r="291" spans="1:1">
      <c r="A291" s="24"/>
    </row>
    <row r="292" spans="1:1">
      <c r="A292" s="24"/>
    </row>
    <row r="293" spans="1:1">
      <c r="A293" s="24"/>
    </row>
    <row r="294" spans="1:1">
      <c r="A294" s="24"/>
    </row>
    <row r="295" spans="1:1">
      <c r="A295" s="24"/>
    </row>
    <row r="296" spans="1:1">
      <c r="A296" s="24"/>
    </row>
    <row r="297" spans="1:1">
      <c r="A297" s="24"/>
    </row>
    <row r="298" spans="1:1">
      <c r="A298" s="24"/>
    </row>
    <row r="299" spans="1:1">
      <c r="A299" s="24"/>
    </row>
    <row r="300" spans="1:1">
      <c r="A300" s="24"/>
    </row>
    <row r="301" spans="1:1">
      <c r="A301" s="24"/>
    </row>
    <row r="302" spans="1:1">
      <c r="A302" s="24"/>
    </row>
    <row r="303" spans="1:1">
      <c r="A303" s="24"/>
    </row>
    <row r="304" spans="1:1">
      <c r="A304" s="24"/>
    </row>
    <row r="305" spans="1:1">
      <c r="A305" s="24"/>
    </row>
    <row r="306" spans="1:1">
      <c r="A306" s="24"/>
    </row>
    <row r="307" spans="1:1">
      <c r="A307" s="24"/>
    </row>
    <row r="308" spans="1:1">
      <c r="A308" s="24"/>
    </row>
    <row r="309" spans="1:1">
      <c r="A309" s="24"/>
    </row>
    <row r="310" spans="1:1">
      <c r="A310" s="24"/>
    </row>
    <row r="311" spans="1:1">
      <c r="A311" s="24"/>
    </row>
    <row r="312" spans="1:1">
      <c r="A312" s="24"/>
    </row>
    <row r="313" spans="1:1">
      <c r="A313" s="24"/>
    </row>
    <row r="314" spans="1:1">
      <c r="A314" s="24"/>
    </row>
    <row r="315" spans="1:1">
      <c r="A315" s="24"/>
    </row>
    <row r="316" spans="1:1">
      <c r="A316" s="24"/>
    </row>
    <row r="317" spans="1:1">
      <c r="A317" s="24"/>
    </row>
    <row r="318" spans="1:1">
      <c r="A318" s="24"/>
    </row>
    <row r="319" spans="1:1">
      <c r="A319" s="24"/>
    </row>
    <row r="320" spans="1:1">
      <c r="A320" s="24"/>
    </row>
    <row r="321" spans="1:1">
      <c r="A321" s="24"/>
    </row>
    <row r="322" spans="1:1">
      <c r="A322" s="24"/>
    </row>
    <row r="323" spans="1:1">
      <c r="A323" s="24"/>
    </row>
    <row r="324" spans="1:1">
      <c r="A324" s="24"/>
    </row>
    <row r="325" spans="1:1">
      <c r="A325" s="24"/>
    </row>
    <row r="326" spans="1:1">
      <c r="A326" s="24"/>
    </row>
    <row r="327" spans="1:1">
      <c r="A327" s="24"/>
    </row>
    <row r="328" spans="1:1">
      <c r="A328" s="24"/>
    </row>
    <row r="329" spans="1:1">
      <c r="A329" s="24"/>
    </row>
    <row r="330" spans="1:1">
      <c r="A330" s="24"/>
    </row>
    <row r="331" spans="1:1">
      <c r="A331" s="24"/>
    </row>
    <row r="332" spans="1:1">
      <c r="A332" s="24"/>
    </row>
    <row r="333" spans="1:1">
      <c r="A333" s="24"/>
    </row>
    <row r="334" spans="1:1">
      <c r="A334" s="24"/>
    </row>
    <row r="335" spans="1:1">
      <c r="A335" s="24"/>
    </row>
    <row r="336" spans="1:1">
      <c r="A336" s="24"/>
    </row>
    <row r="337" spans="1:1">
      <c r="A337" s="24"/>
    </row>
    <row r="338" spans="1:1">
      <c r="A338" s="24"/>
    </row>
    <row r="339" spans="1:1">
      <c r="A339" s="24"/>
    </row>
    <row r="340" spans="1:1">
      <c r="A340" s="24"/>
    </row>
    <row r="341" spans="1:1">
      <c r="A341" s="24"/>
    </row>
    <row r="342" spans="1:1">
      <c r="A342" s="24"/>
    </row>
    <row r="343" spans="1:1">
      <c r="A343" s="24"/>
    </row>
    <row r="344" spans="1:1">
      <c r="A344" s="24"/>
    </row>
    <row r="345" spans="1:1">
      <c r="A345" s="24"/>
    </row>
    <row r="346" spans="1:1">
      <c r="A346" s="24"/>
    </row>
    <row r="347" spans="1:1">
      <c r="A347" s="24"/>
    </row>
    <row r="348" spans="1:1">
      <c r="A348" s="24"/>
    </row>
    <row r="349" spans="1:1">
      <c r="A349" s="24"/>
    </row>
    <row r="350" spans="1:1">
      <c r="A350" s="24"/>
    </row>
    <row r="351" spans="1:1">
      <c r="A351" s="24"/>
    </row>
    <row r="352" spans="1:1">
      <c r="A352" s="24"/>
    </row>
    <row r="353" spans="1:1">
      <c r="A353" s="24"/>
    </row>
    <row r="354" spans="1:1">
      <c r="A354" s="24"/>
    </row>
    <row r="355" spans="1:1">
      <c r="A355" s="24"/>
    </row>
    <row r="356" spans="1:1">
      <c r="A356" s="24"/>
    </row>
    <row r="357" spans="1:1">
      <c r="A357" s="24"/>
    </row>
    <row r="358" spans="1:1">
      <c r="A358" s="24"/>
    </row>
    <row r="359" spans="1:1">
      <c r="A359" s="24"/>
    </row>
    <row r="360" spans="1:1">
      <c r="A360" s="24"/>
    </row>
    <row r="361" spans="1:1">
      <c r="A361" s="24"/>
    </row>
    <row r="362" spans="1:1">
      <c r="A362" s="24"/>
    </row>
    <row r="363" spans="1:1">
      <c r="A363" s="24"/>
    </row>
    <row r="364" spans="1:1">
      <c r="A364" s="24"/>
    </row>
    <row r="365" spans="1:1">
      <c r="A365" s="24"/>
    </row>
    <row r="366" spans="1:1">
      <c r="A366" s="24"/>
    </row>
    <row r="367" spans="1:1">
      <c r="A367" s="24"/>
    </row>
    <row r="368" spans="1:1">
      <c r="A368" s="24"/>
    </row>
    <row r="369" spans="1:1">
      <c r="A369" s="24"/>
    </row>
    <row r="370" spans="1:1">
      <c r="A370" s="24"/>
    </row>
    <row r="371" spans="1:1">
      <c r="A371" s="24"/>
    </row>
    <row r="372" spans="1:1">
      <c r="A372" s="24"/>
    </row>
    <row r="373" spans="1:1">
      <c r="A373" s="24"/>
    </row>
    <row r="374" spans="1:1">
      <c r="A374" s="24"/>
    </row>
    <row r="375" spans="1:1">
      <c r="A375" s="24"/>
    </row>
    <row r="376" spans="1:1">
      <c r="A376" s="24"/>
    </row>
    <row r="377" spans="1:1">
      <c r="A377" s="24"/>
    </row>
    <row r="378" spans="1:1">
      <c r="A378" s="24"/>
    </row>
    <row r="379" spans="1:1">
      <c r="A379" s="24"/>
    </row>
    <row r="380" spans="1:1">
      <c r="A380" s="24"/>
    </row>
    <row r="381" spans="1:1">
      <c r="A381" s="24"/>
    </row>
    <row r="382" spans="1:1">
      <c r="A382" s="24"/>
    </row>
    <row r="383" spans="1:1">
      <c r="A383" s="24"/>
    </row>
    <row r="384" spans="1:1">
      <c r="A384" s="24"/>
    </row>
    <row r="385" spans="1:1">
      <c r="A385" s="24"/>
    </row>
    <row r="386" spans="1:1">
      <c r="A386" s="24"/>
    </row>
    <row r="387" spans="1:1">
      <c r="A387" s="24"/>
    </row>
    <row r="388" spans="1:1">
      <c r="A388" s="24"/>
    </row>
    <row r="389" spans="1:1">
      <c r="A389" s="24"/>
    </row>
    <row r="390" spans="1:1">
      <c r="A390" s="24"/>
    </row>
    <row r="391" spans="1:1">
      <c r="A391" s="24"/>
    </row>
    <row r="392" spans="1:1">
      <c r="A392" s="24"/>
    </row>
    <row r="393" spans="1:1">
      <c r="A393" s="24"/>
    </row>
  </sheetData>
  <sheetProtection formatCells="0" formatColumns="0" formatRows="0" insertRows="0" deleteRows="0"/>
  <autoFilter ref="A3:H170">
    <filterColumn colId="3" showButton="0"/>
    <filterColumn colId="4" showButton="0"/>
    <filterColumn colId="5" showButton="0"/>
  </autoFilter>
  <mergeCells count="7">
    <mergeCell ref="A1:H1"/>
    <mergeCell ref="H3:H4"/>
    <mergeCell ref="A6:H6"/>
    <mergeCell ref="B3:B4"/>
    <mergeCell ref="A3:A4"/>
    <mergeCell ref="C3:C4"/>
    <mergeCell ref="D3:G3"/>
  </mergeCells>
  <phoneticPr fontId="0" type="noConversion"/>
  <pageMargins left="0.27" right="1.19" top="0.59055118110236227" bottom="0.39370078740157483" header="0.19685039370078741" footer="0.11811023622047245"/>
  <pageSetup paperSize="9" scale="4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3399FF"/>
    <pageSetUpPr fitToPage="1"/>
  </sheetPr>
  <dimension ref="A1:K200"/>
  <sheetViews>
    <sheetView zoomScale="70" zoomScaleNormal="70" zoomScaleSheetLayoutView="70" zoomScalePageLayoutView="85" workbookViewId="0">
      <pane ySplit="4" topLeftCell="A32" activePane="bottomLeft" state="frozen"/>
      <selection pane="bottomLeft" activeCell="K1" sqref="K1:K1048576"/>
    </sheetView>
  </sheetViews>
  <sheetFormatPr defaultColWidth="77.85546875" defaultRowHeight="18.75" outlineLevelRow="1"/>
  <cols>
    <col min="1" max="1" width="61.28515625" style="20" customWidth="1"/>
    <col min="2" max="2" width="15.28515625" style="23" customWidth="1"/>
    <col min="3" max="3" width="14.85546875" style="23" customWidth="1"/>
    <col min="4" max="4" width="17.85546875" style="20" customWidth="1"/>
    <col min="5" max="7" width="13.7109375" style="20" customWidth="1"/>
    <col min="8" max="8" width="10" style="20" customWidth="1"/>
    <col min="9" max="249" width="9.140625" style="20" customWidth="1"/>
    <col min="250" max="16384" width="77.85546875" style="20"/>
  </cols>
  <sheetData>
    <row r="1" spans="1:7">
      <c r="A1" s="386" t="s">
        <v>249</v>
      </c>
      <c r="B1" s="386"/>
      <c r="C1" s="386"/>
      <c r="D1" s="386"/>
      <c r="E1" s="386"/>
      <c r="F1" s="386"/>
      <c r="G1" s="386"/>
    </row>
    <row r="2" spans="1:7" outlineLevel="1">
      <c r="A2" s="19"/>
      <c r="B2" s="26"/>
      <c r="C2" s="291"/>
      <c r="D2" s="326"/>
      <c r="E2" s="268"/>
      <c r="F2" s="19"/>
      <c r="G2" s="19"/>
    </row>
    <row r="3" spans="1:7" ht="38.25" customHeight="1">
      <c r="A3" s="387" t="s">
        <v>201</v>
      </c>
      <c r="B3" s="388" t="s">
        <v>18</v>
      </c>
      <c r="C3" s="389" t="s">
        <v>592</v>
      </c>
      <c r="D3" s="390" t="s">
        <v>611</v>
      </c>
      <c r="E3" s="390"/>
      <c r="F3" s="390"/>
      <c r="G3" s="390"/>
    </row>
    <row r="4" spans="1:7" ht="50.25" customHeight="1">
      <c r="A4" s="387"/>
      <c r="B4" s="388"/>
      <c r="C4" s="389"/>
      <c r="D4" s="148" t="s">
        <v>463</v>
      </c>
      <c r="E4" s="148" t="s">
        <v>590</v>
      </c>
      <c r="F4" s="172" t="s">
        <v>468</v>
      </c>
      <c r="G4" s="172" t="s">
        <v>466</v>
      </c>
    </row>
    <row r="5" spans="1:7" ht="18" customHeight="1">
      <c r="A5" s="25">
        <v>1</v>
      </c>
      <c r="B5" s="154">
        <v>2</v>
      </c>
      <c r="C5" s="292">
        <v>3</v>
      </c>
      <c r="D5" s="328">
        <v>4</v>
      </c>
      <c r="E5" s="267"/>
      <c r="F5" s="154">
        <v>6</v>
      </c>
      <c r="G5" s="151">
        <v>7</v>
      </c>
    </row>
    <row r="6" spans="1:7" ht="17.25" customHeight="1">
      <c r="A6" s="383" t="s">
        <v>124</v>
      </c>
      <c r="B6" s="384"/>
      <c r="C6" s="384"/>
      <c r="D6" s="384"/>
      <c r="E6" s="384"/>
      <c r="F6" s="384"/>
      <c r="G6" s="385"/>
    </row>
    <row r="7" spans="1:7" ht="57" customHeight="1">
      <c r="A7" s="27" t="s">
        <v>55</v>
      </c>
      <c r="B7" s="151">
        <v>2000</v>
      </c>
      <c r="C7" s="290">
        <v>-137505</v>
      </c>
      <c r="D7" s="323">
        <v>-147889</v>
      </c>
      <c r="E7" s="307">
        <v>-147889</v>
      </c>
      <c r="F7" s="140">
        <f t="shared" ref="F7:F21" si="0">E7-D7</f>
        <v>0</v>
      </c>
      <c r="G7" s="141">
        <f t="shared" ref="G7:G21" si="1">E7/D7*100</f>
        <v>100</v>
      </c>
    </row>
    <row r="8" spans="1:7" ht="37.5">
      <c r="A8" s="21" t="s">
        <v>170</v>
      </c>
      <c r="B8" s="151">
        <v>2010</v>
      </c>
      <c r="C8" s="290">
        <v>0</v>
      </c>
      <c r="D8" s="323">
        <v>0</v>
      </c>
      <c r="E8" s="307">
        <v>0</v>
      </c>
      <c r="F8" s="140">
        <f t="shared" si="0"/>
        <v>0</v>
      </c>
      <c r="G8" s="141" t="e">
        <f t="shared" si="1"/>
        <v>#DIV/0!</v>
      </c>
    </row>
    <row r="9" spans="1:7" ht="42.75" customHeight="1">
      <c r="A9" s="5" t="s">
        <v>251</v>
      </c>
      <c r="B9" s="151">
        <v>2011</v>
      </c>
      <c r="C9" s="290">
        <v>0</v>
      </c>
      <c r="D9" s="323">
        <v>0</v>
      </c>
      <c r="E9" s="307">
        <v>0</v>
      </c>
      <c r="F9" s="140">
        <f t="shared" si="0"/>
        <v>0</v>
      </c>
      <c r="G9" s="141" t="e">
        <f t="shared" si="1"/>
        <v>#DIV/0!</v>
      </c>
    </row>
    <row r="10" spans="1:7" ht="93.75">
      <c r="A10" s="5" t="s">
        <v>252</v>
      </c>
      <c r="B10" s="151">
        <v>2012</v>
      </c>
      <c r="C10" s="290">
        <v>0</v>
      </c>
      <c r="D10" s="323">
        <v>0</v>
      </c>
      <c r="E10" s="307">
        <v>0</v>
      </c>
      <c r="F10" s="140">
        <f t="shared" si="0"/>
        <v>0</v>
      </c>
      <c r="G10" s="141" t="e">
        <f t="shared" si="1"/>
        <v>#DIV/0!</v>
      </c>
    </row>
    <row r="11" spans="1:7" ht="20.100000000000001" customHeight="1">
      <c r="A11" s="5" t="s">
        <v>166</v>
      </c>
      <c r="B11" s="151">
        <v>2020</v>
      </c>
      <c r="C11" s="290"/>
      <c r="D11" s="323">
        <v>0</v>
      </c>
      <c r="E11" s="307">
        <v>0</v>
      </c>
      <c r="F11" s="140">
        <f t="shared" si="0"/>
        <v>0</v>
      </c>
      <c r="G11" s="141" t="e">
        <f t="shared" si="1"/>
        <v>#DIV/0!</v>
      </c>
    </row>
    <row r="12" spans="1:7" s="22" customFormat="1" ht="20.100000000000001" customHeight="1">
      <c r="A12" s="21" t="s">
        <v>63</v>
      </c>
      <c r="B12" s="151">
        <v>2030</v>
      </c>
      <c r="C12" s="290">
        <v>0</v>
      </c>
      <c r="D12" s="323">
        <v>0</v>
      </c>
      <c r="E12" s="307">
        <v>0</v>
      </c>
      <c r="F12" s="140">
        <f t="shared" si="0"/>
        <v>0</v>
      </c>
      <c r="G12" s="141" t="e">
        <f t="shared" si="1"/>
        <v>#DIV/0!</v>
      </c>
    </row>
    <row r="13" spans="1:7" ht="37.5">
      <c r="A13" s="21" t="s">
        <v>267</v>
      </c>
      <c r="B13" s="151">
        <v>2031</v>
      </c>
      <c r="C13" s="290">
        <v>0</v>
      </c>
      <c r="D13" s="323">
        <v>0</v>
      </c>
      <c r="E13" s="307">
        <v>0</v>
      </c>
      <c r="F13" s="140">
        <f t="shared" si="0"/>
        <v>0</v>
      </c>
      <c r="G13" s="141" t="e">
        <f t="shared" si="1"/>
        <v>#DIV/0!</v>
      </c>
    </row>
    <row r="14" spans="1:7" ht="20.100000000000001" customHeight="1">
      <c r="A14" s="21" t="s">
        <v>26</v>
      </c>
      <c r="B14" s="151">
        <v>2040</v>
      </c>
      <c r="C14" s="290">
        <v>0</v>
      </c>
      <c r="D14" s="323">
        <v>0</v>
      </c>
      <c r="E14" s="307">
        <v>0</v>
      </c>
      <c r="F14" s="140">
        <f t="shared" si="0"/>
        <v>0</v>
      </c>
      <c r="G14" s="141" t="e">
        <f t="shared" si="1"/>
        <v>#DIV/0!</v>
      </c>
    </row>
    <row r="15" spans="1:7" ht="20.100000000000001" customHeight="1">
      <c r="A15" s="79" t="s">
        <v>96</v>
      </c>
      <c r="B15" s="151">
        <v>2050</v>
      </c>
      <c r="C15" s="290">
        <v>0</v>
      </c>
      <c r="D15" s="323">
        <v>0</v>
      </c>
      <c r="E15" s="307">
        <v>0</v>
      </c>
      <c r="F15" s="140">
        <f t="shared" si="0"/>
        <v>0</v>
      </c>
      <c r="G15" s="141" t="e">
        <f t="shared" si="1"/>
        <v>#DIV/0!</v>
      </c>
    </row>
    <row r="16" spans="1:7" ht="20.100000000000001" customHeight="1">
      <c r="A16" s="79" t="s">
        <v>97</v>
      </c>
      <c r="B16" s="151">
        <v>2060</v>
      </c>
      <c r="C16" s="223">
        <f>C19+C20</f>
        <v>9595</v>
      </c>
      <c r="D16" s="223">
        <v>0</v>
      </c>
      <c r="E16" s="223">
        <f>SUM(E17:E20)</f>
        <v>-1530</v>
      </c>
      <c r="F16" s="140">
        <f t="shared" si="0"/>
        <v>-1530</v>
      </c>
      <c r="G16" s="141" t="e">
        <f t="shared" si="1"/>
        <v>#DIV/0!</v>
      </c>
    </row>
    <row r="17" spans="1:8" ht="38.25" customHeight="1">
      <c r="A17" s="79" t="s">
        <v>578</v>
      </c>
      <c r="B17" s="151" t="s">
        <v>334</v>
      </c>
      <c r="C17" s="223"/>
      <c r="D17" s="223">
        <v>0</v>
      </c>
      <c r="E17" s="223"/>
      <c r="F17" s="263">
        <f t="shared" si="0"/>
        <v>0</v>
      </c>
      <c r="G17" s="141" t="e">
        <f t="shared" si="1"/>
        <v>#DIV/0!</v>
      </c>
    </row>
    <row r="18" spans="1:8" ht="38.25" customHeight="1">
      <c r="A18" s="79" t="s">
        <v>607</v>
      </c>
      <c r="B18" s="310" t="s">
        <v>543</v>
      </c>
      <c r="C18" s="223"/>
      <c r="D18" s="223"/>
      <c r="E18" s="223">
        <v>-1530</v>
      </c>
      <c r="F18" s="263">
        <f t="shared" ref="F18" si="2">E18-D18</f>
        <v>-1530</v>
      </c>
      <c r="G18" s="141" t="e">
        <f t="shared" ref="G18" si="3">E18/D18*100</f>
        <v>#DIV/0!</v>
      </c>
    </row>
    <row r="19" spans="1:8" ht="38.25" customHeight="1">
      <c r="A19" s="79" t="s">
        <v>544</v>
      </c>
      <c r="B19" s="310" t="s">
        <v>545</v>
      </c>
      <c r="C19" s="223">
        <v>723</v>
      </c>
      <c r="D19" s="223">
        <v>0</v>
      </c>
      <c r="E19" s="223">
        <v>0</v>
      </c>
      <c r="F19" s="140">
        <f t="shared" si="0"/>
        <v>0</v>
      </c>
      <c r="G19" s="141" t="e">
        <f t="shared" si="1"/>
        <v>#DIV/0!</v>
      </c>
    </row>
    <row r="20" spans="1:8" ht="38.25" customHeight="1">
      <c r="A20" s="79" t="s">
        <v>546</v>
      </c>
      <c r="B20" s="310" t="s">
        <v>608</v>
      </c>
      <c r="C20" s="223">
        <v>8872</v>
      </c>
      <c r="D20" s="223"/>
      <c r="E20" s="223"/>
      <c r="F20" s="140">
        <f t="shared" si="0"/>
        <v>0</v>
      </c>
      <c r="G20" s="141" t="e">
        <f t="shared" si="1"/>
        <v>#DIV/0!</v>
      </c>
    </row>
    <row r="21" spans="1:8" ht="52.5" customHeight="1">
      <c r="A21" s="27" t="s">
        <v>56</v>
      </c>
      <c r="B21" s="41">
        <v>2070</v>
      </c>
      <c r="C21" s="149">
        <f>'I. Фін результат'!C145+C7-(C8+C11+C12+C14+C15+C16)</f>
        <v>-151275</v>
      </c>
      <c r="D21" s="149">
        <f>'I. Фін результат'!D145+D7-(D8+D11+D12+D14+D15+D17)</f>
        <v>-147889</v>
      </c>
      <c r="E21" s="149">
        <f>'I. Фін результат'!E145+E7-(E8+E11+E12+E14+E15+E16)</f>
        <v>-148350</v>
      </c>
      <c r="F21" s="140">
        <f t="shared" si="0"/>
        <v>-461</v>
      </c>
      <c r="G21" s="141">
        <f t="shared" si="1"/>
        <v>100.31172027669402</v>
      </c>
      <c r="H21" s="173"/>
    </row>
    <row r="22" spans="1:8" ht="42" customHeight="1">
      <c r="A22" s="380" t="s">
        <v>125</v>
      </c>
      <c r="B22" s="381"/>
      <c r="C22" s="381"/>
      <c r="D22" s="381"/>
      <c r="E22" s="381"/>
      <c r="F22" s="381"/>
      <c r="G22" s="382"/>
    </row>
    <row r="23" spans="1:8" ht="37.5">
      <c r="A23" s="79" t="s">
        <v>438</v>
      </c>
      <c r="B23" s="160">
        <v>2100</v>
      </c>
      <c r="C23" s="290">
        <v>0</v>
      </c>
      <c r="D23" s="323">
        <f>SUM(D24:D25)</f>
        <v>0</v>
      </c>
      <c r="E23" s="274">
        <v>0</v>
      </c>
      <c r="F23" s="140">
        <f t="shared" ref="F23:F46" si="4">E23-D23</f>
        <v>0</v>
      </c>
      <c r="G23" s="141" t="e">
        <f t="shared" ref="G23:G46" si="5">E23/D23*100</f>
        <v>#DIV/0!</v>
      </c>
    </row>
    <row r="24" spans="1:8" ht="42.75" customHeight="1">
      <c r="A24" s="163" t="s">
        <v>251</v>
      </c>
      <c r="B24" s="160">
        <v>2101</v>
      </c>
      <c r="C24" s="290">
        <v>0</v>
      </c>
      <c r="D24" s="323">
        <f>D9</f>
        <v>0</v>
      </c>
      <c r="E24" s="274">
        <v>0</v>
      </c>
      <c r="F24" s="140">
        <f t="shared" si="4"/>
        <v>0</v>
      </c>
      <c r="G24" s="141" t="e">
        <f t="shared" si="5"/>
        <v>#DIV/0!</v>
      </c>
    </row>
    <row r="25" spans="1:8" ht="93.75">
      <c r="A25" s="163" t="s">
        <v>252</v>
      </c>
      <c r="B25" s="160">
        <v>2102</v>
      </c>
      <c r="C25" s="290">
        <v>0</v>
      </c>
      <c r="D25" s="323">
        <f>D10</f>
        <v>0</v>
      </c>
      <c r="E25" s="274">
        <v>0</v>
      </c>
      <c r="F25" s="140">
        <f t="shared" si="4"/>
        <v>0</v>
      </c>
      <c r="G25" s="141" t="e">
        <f t="shared" si="5"/>
        <v>#DIV/0!</v>
      </c>
    </row>
    <row r="26" spans="1:8" s="22" customFormat="1" ht="20.100000000000001" customHeight="1">
      <c r="A26" s="79" t="s">
        <v>127</v>
      </c>
      <c r="B26" s="80">
        <v>2110</v>
      </c>
      <c r="C26" s="290">
        <v>0</v>
      </c>
      <c r="D26" s="323">
        <v>0</v>
      </c>
      <c r="E26" s="274">
        <v>0</v>
      </c>
      <c r="F26" s="140">
        <f t="shared" si="4"/>
        <v>0</v>
      </c>
      <c r="G26" s="141" t="e">
        <f t="shared" si="5"/>
        <v>#DIV/0!</v>
      </c>
    </row>
    <row r="27" spans="1:8" ht="56.25">
      <c r="A27" s="79" t="s">
        <v>228</v>
      </c>
      <c r="B27" s="80">
        <v>2120</v>
      </c>
      <c r="C27" s="223">
        <v>0</v>
      </c>
      <c r="D27" s="223">
        <v>0</v>
      </c>
      <c r="E27" s="223">
        <v>0</v>
      </c>
      <c r="F27" s="140">
        <f t="shared" si="4"/>
        <v>0</v>
      </c>
      <c r="G27" s="141" t="e">
        <f t="shared" si="5"/>
        <v>#DIV/0!</v>
      </c>
    </row>
    <row r="28" spans="1:8" ht="56.25">
      <c r="A28" s="79" t="s">
        <v>229</v>
      </c>
      <c r="B28" s="80">
        <v>2130</v>
      </c>
      <c r="C28" s="223">
        <v>-355465</v>
      </c>
      <c r="D28" s="223">
        <v>-355465</v>
      </c>
      <c r="E28" s="223">
        <v>-457886</v>
      </c>
      <c r="F28" s="140">
        <f t="shared" si="4"/>
        <v>-102421</v>
      </c>
      <c r="G28" s="141">
        <f t="shared" si="5"/>
        <v>128.81324462323997</v>
      </c>
    </row>
    <row r="29" spans="1:8" s="153" customFormat="1" ht="56.25">
      <c r="A29" s="174" t="s">
        <v>196</v>
      </c>
      <c r="B29" s="175">
        <v>2140</v>
      </c>
      <c r="C29" s="149">
        <f>C33+C37+C40</f>
        <v>18363</v>
      </c>
      <c r="D29" s="149">
        <f>SUM(D30:D34,D37,D40)</f>
        <v>21190</v>
      </c>
      <c r="E29" s="149">
        <f>E33+E37+E40</f>
        <v>20337</v>
      </c>
      <c r="F29" s="140">
        <f t="shared" si="4"/>
        <v>-853</v>
      </c>
      <c r="G29" s="141">
        <f t="shared" si="5"/>
        <v>95.974516281264741</v>
      </c>
      <c r="H29" s="20"/>
    </row>
    <row r="30" spans="1:8" ht="20.100000000000001" customHeight="1">
      <c r="A30" s="79" t="s">
        <v>72</v>
      </c>
      <c r="B30" s="80">
        <v>2141</v>
      </c>
      <c r="C30" s="223">
        <v>0</v>
      </c>
      <c r="D30" s="223">
        <v>0</v>
      </c>
      <c r="E30" s="223">
        <v>0</v>
      </c>
      <c r="F30" s="140">
        <f t="shared" si="4"/>
        <v>0</v>
      </c>
      <c r="G30" s="141" t="e">
        <f t="shared" si="5"/>
        <v>#DIV/0!</v>
      </c>
    </row>
    <row r="31" spans="1:8" ht="20.100000000000001" customHeight="1">
      <c r="A31" s="79" t="s">
        <v>87</v>
      </c>
      <c r="B31" s="80">
        <v>2142</v>
      </c>
      <c r="C31" s="223">
        <v>0</v>
      </c>
      <c r="D31" s="223">
        <v>0</v>
      </c>
      <c r="E31" s="223">
        <v>0</v>
      </c>
      <c r="F31" s="140">
        <f t="shared" si="4"/>
        <v>0</v>
      </c>
      <c r="G31" s="141" t="e">
        <f t="shared" si="5"/>
        <v>#DIV/0!</v>
      </c>
    </row>
    <row r="32" spans="1:8" ht="20.100000000000001" customHeight="1">
      <c r="A32" s="79" t="s">
        <v>83</v>
      </c>
      <c r="B32" s="80">
        <v>2143</v>
      </c>
      <c r="C32" s="223">
        <v>0</v>
      </c>
      <c r="D32" s="223">
        <v>0</v>
      </c>
      <c r="E32" s="224">
        <v>0</v>
      </c>
      <c r="F32" s="140">
        <f t="shared" si="4"/>
        <v>0</v>
      </c>
      <c r="G32" s="141" t="e">
        <f t="shared" si="5"/>
        <v>#DIV/0!</v>
      </c>
    </row>
    <row r="33" spans="1:11" ht="20.100000000000001" customHeight="1">
      <c r="A33" s="79" t="s">
        <v>70</v>
      </c>
      <c r="B33" s="80">
        <v>2144</v>
      </c>
      <c r="C33" s="223">
        <v>16827</v>
      </c>
      <c r="D33" s="223">
        <v>19342</v>
      </c>
      <c r="E33" s="224">
        <v>18591</v>
      </c>
      <c r="F33" s="140">
        <f t="shared" si="4"/>
        <v>-751</v>
      </c>
      <c r="G33" s="141">
        <f t="shared" si="5"/>
        <v>96.11725778099472</v>
      </c>
      <c r="H33" s="90"/>
      <c r="I33" s="90"/>
    </row>
    <row r="34" spans="1:11" s="22" customFormat="1" ht="20.100000000000001" customHeight="1">
      <c r="A34" s="79" t="s">
        <v>146</v>
      </c>
      <c r="B34" s="80">
        <v>2145</v>
      </c>
      <c r="C34" s="223">
        <v>0</v>
      </c>
      <c r="D34" s="223">
        <v>0</v>
      </c>
      <c r="E34" s="224">
        <v>0</v>
      </c>
      <c r="F34" s="140">
        <f t="shared" si="4"/>
        <v>0</v>
      </c>
      <c r="G34" s="141" t="e">
        <f t="shared" si="5"/>
        <v>#DIV/0!</v>
      </c>
    </row>
    <row r="35" spans="1:11" ht="56.25">
      <c r="A35" s="79" t="s">
        <v>200</v>
      </c>
      <c r="B35" s="80" t="s">
        <v>181</v>
      </c>
      <c r="C35" s="223">
        <v>0</v>
      </c>
      <c r="D35" s="223">
        <v>0</v>
      </c>
      <c r="E35" s="224">
        <v>0</v>
      </c>
      <c r="F35" s="140">
        <f t="shared" si="4"/>
        <v>0</v>
      </c>
      <c r="G35" s="141" t="e">
        <f t="shared" si="5"/>
        <v>#DIV/0!</v>
      </c>
    </row>
    <row r="36" spans="1:11" ht="20.100000000000001" customHeight="1">
      <c r="A36" s="79" t="s">
        <v>27</v>
      </c>
      <c r="B36" s="80" t="s">
        <v>182</v>
      </c>
      <c r="C36" s="223">
        <v>0</v>
      </c>
      <c r="D36" s="223">
        <v>0</v>
      </c>
      <c r="E36" s="224">
        <v>0</v>
      </c>
      <c r="F36" s="140">
        <f t="shared" si="4"/>
        <v>0</v>
      </c>
      <c r="G36" s="141" t="e">
        <f t="shared" si="5"/>
        <v>#DIV/0!</v>
      </c>
    </row>
    <row r="37" spans="1:11" s="22" customFormat="1" ht="20.100000000000001" customHeight="1">
      <c r="A37" s="79" t="s">
        <v>98</v>
      </c>
      <c r="B37" s="80">
        <v>2146</v>
      </c>
      <c r="C37" s="223">
        <v>132</v>
      </c>
      <c r="D37" s="223">
        <v>234</v>
      </c>
      <c r="E37" s="224">
        <f>E38+E39</f>
        <v>196</v>
      </c>
      <c r="F37" s="140">
        <f t="shared" si="4"/>
        <v>-38</v>
      </c>
      <c r="G37" s="141">
        <f t="shared" si="5"/>
        <v>83.760683760683762</v>
      </c>
    </row>
    <row r="38" spans="1:11" s="22" customFormat="1" ht="20.100000000000001" customHeight="1">
      <c r="A38" s="79" t="s">
        <v>496</v>
      </c>
      <c r="B38" s="80" t="s">
        <v>339</v>
      </c>
      <c r="C38" s="223">
        <v>132</v>
      </c>
      <c r="D38" s="223">
        <v>234</v>
      </c>
      <c r="E38" s="224">
        <v>196</v>
      </c>
      <c r="F38" s="140">
        <f t="shared" si="4"/>
        <v>-38</v>
      </c>
      <c r="G38" s="141">
        <f t="shared" si="5"/>
        <v>83.760683760683762</v>
      </c>
      <c r="I38" s="20"/>
      <c r="J38" s="20"/>
      <c r="K38" s="20"/>
    </row>
    <row r="39" spans="1:11" s="22" customFormat="1" ht="20.100000000000001" customHeight="1">
      <c r="A39" s="79" t="s">
        <v>335</v>
      </c>
      <c r="B39" s="80" t="s">
        <v>340</v>
      </c>
      <c r="C39" s="223"/>
      <c r="D39" s="223">
        <v>0</v>
      </c>
      <c r="E39" s="224"/>
      <c r="F39" s="140">
        <f t="shared" si="4"/>
        <v>0</v>
      </c>
      <c r="G39" s="141" t="e">
        <f t="shared" si="5"/>
        <v>#DIV/0!</v>
      </c>
      <c r="I39" s="20"/>
      <c r="J39" s="20"/>
      <c r="K39" s="20"/>
    </row>
    <row r="40" spans="1:11" ht="20.100000000000001" customHeight="1">
      <c r="A40" s="79" t="s">
        <v>73</v>
      </c>
      <c r="B40" s="80">
        <v>2147</v>
      </c>
      <c r="C40" s="223">
        <v>1404</v>
      </c>
      <c r="D40" s="223">
        <v>1614</v>
      </c>
      <c r="E40" s="224">
        <f>SUM(E41:E44)</f>
        <v>1550</v>
      </c>
      <c r="F40" s="140">
        <f t="shared" si="4"/>
        <v>-64</v>
      </c>
      <c r="G40" s="141">
        <f t="shared" si="5"/>
        <v>96.034696406443615</v>
      </c>
    </row>
    <row r="41" spans="1:11" ht="20.100000000000001" customHeight="1">
      <c r="A41" s="79" t="s">
        <v>336</v>
      </c>
      <c r="B41" s="80" t="s">
        <v>257</v>
      </c>
      <c r="C41" s="223">
        <v>1</v>
      </c>
      <c r="D41" s="223">
        <v>1</v>
      </c>
      <c r="E41" s="224">
        <v>1</v>
      </c>
      <c r="F41" s="140">
        <f t="shared" si="4"/>
        <v>0</v>
      </c>
      <c r="G41" s="141">
        <f t="shared" si="5"/>
        <v>100</v>
      </c>
    </row>
    <row r="42" spans="1:11" ht="21.75" customHeight="1">
      <c r="A42" s="79" t="s">
        <v>337</v>
      </c>
      <c r="B42" s="80" t="s">
        <v>268</v>
      </c>
      <c r="C42" s="223">
        <v>0</v>
      </c>
      <c r="D42" s="223">
        <v>0</v>
      </c>
      <c r="E42" s="224">
        <v>0</v>
      </c>
      <c r="F42" s="140">
        <f t="shared" si="4"/>
        <v>0</v>
      </c>
      <c r="G42" s="141" t="e">
        <f t="shared" si="5"/>
        <v>#DIV/0!</v>
      </c>
    </row>
    <row r="43" spans="1:11" ht="38.25" customHeight="1">
      <c r="A43" s="79" t="s">
        <v>338</v>
      </c>
      <c r="B43" s="80" t="s">
        <v>341</v>
      </c>
      <c r="C43" s="223">
        <v>1</v>
      </c>
      <c r="D43" s="223">
        <v>1</v>
      </c>
      <c r="E43" s="224">
        <v>0</v>
      </c>
      <c r="F43" s="140">
        <f t="shared" si="4"/>
        <v>-1</v>
      </c>
      <c r="G43" s="141">
        <f t="shared" si="5"/>
        <v>0</v>
      </c>
      <c r="I43" s="22"/>
    </row>
    <row r="44" spans="1:11" ht="20.100000000000001" customHeight="1">
      <c r="A44" s="79" t="s">
        <v>256</v>
      </c>
      <c r="B44" s="80" t="s">
        <v>342</v>
      </c>
      <c r="C44" s="223">
        <v>1402</v>
      </c>
      <c r="D44" s="223">
        <v>1612</v>
      </c>
      <c r="E44" s="224">
        <v>1549</v>
      </c>
      <c r="F44" s="140">
        <f t="shared" si="4"/>
        <v>-63</v>
      </c>
      <c r="G44" s="141">
        <f t="shared" si="5"/>
        <v>96.091811414392055</v>
      </c>
    </row>
    <row r="45" spans="1:11" s="22" customFormat="1" ht="37.5">
      <c r="A45" s="79" t="s">
        <v>71</v>
      </c>
      <c r="B45" s="80">
        <v>2150</v>
      </c>
      <c r="C45" s="223">
        <v>18163</v>
      </c>
      <c r="D45" s="223">
        <v>23145</v>
      </c>
      <c r="E45" s="223">
        <v>20711</v>
      </c>
      <c r="F45" s="140">
        <f t="shared" si="4"/>
        <v>-2434</v>
      </c>
      <c r="G45" s="141">
        <f t="shared" si="5"/>
        <v>89.483689781810327</v>
      </c>
    </row>
    <row r="46" spans="1:11" s="22" customFormat="1" ht="20.100000000000001" customHeight="1">
      <c r="A46" s="174" t="s">
        <v>246</v>
      </c>
      <c r="B46" s="175">
        <v>2200</v>
      </c>
      <c r="C46" s="149">
        <f>C27+C28+C29+C45+C23+C26</f>
        <v>-318939</v>
      </c>
      <c r="D46" s="149">
        <v>-316075</v>
      </c>
      <c r="E46" s="149">
        <f>E27+E28+E29+E45+E23+E26</f>
        <v>-416838</v>
      </c>
      <c r="F46" s="140">
        <f t="shared" si="4"/>
        <v>-100763</v>
      </c>
      <c r="G46" s="141">
        <f t="shared" si="5"/>
        <v>131.87945898916396</v>
      </c>
      <c r="H46" s="20"/>
    </row>
    <row r="47" spans="1:11" s="22" customFormat="1" ht="7.5" customHeight="1">
      <c r="A47" s="70"/>
      <c r="B47" s="71"/>
      <c r="C47" s="176"/>
      <c r="D47" s="72"/>
      <c r="E47" s="72"/>
      <c r="F47" s="72"/>
      <c r="G47" s="72"/>
    </row>
    <row r="48" spans="1:11" s="22" customFormat="1" ht="20.100000000000001" customHeight="1">
      <c r="A48" s="70"/>
      <c r="B48" s="71"/>
      <c r="C48" s="176"/>
      <c r="D48" s="72"/>
      <c r="E48" s="72"/>
      <c r="F48" s="72"/>
      <c r="G48" s="72" t="s">
        <v>436</v>
      </c>
      <c r="H48" s="90"/>
      <c r="I48" s="90"/>
    </row>
    <row r="49" spans="1:10" s="242" customFormat="1" ht="20.25" customHeight="1" thickBot="1">
      <c r="A49" s="62" t="s">
        <v>498</v>
      </c>
      <c r="B49" s="63"/>
      <c r="C49" s="221"/>
      <c r="D49" s="64"/>
      <c r="E49" s="285"/>
      <c r="F49" s="285" t="s">
        <v>620</v>
      </c>
      <c r="G49" s="285"/>
    </row>
    <row r="50" spans="1:10" s="1" customFormat="1" ht="21" customHeight="1">
      <c r="A50" s="216" t="s">
        <v>66</v>
      </c>
      <c r="B50" s="50"/>
      <c r="C50" s="104" t="s">
        <v>491</v>
      </c>
      <c r="D50" s="65"/>
      <c r="E50" s="284"/>
      <c r="F50" s="284" t="s">
        <v>593</v>
      </c>
      <c r="G50" s="284"/>
      <c r="J50"/>
    </row>
    <row r="51" spans="1:10" s="23" customFormat="1">
      <c r="A51" s="29"/>
      <c r="D51" s="20"/>
      <c r="E51" s="20"/>
      <c r="F51" s="20"/>
      <c r="G51" s="20"/>
      <c r="H51" s="20"/>
    </row>
    <row r="52" spans="1:10" s="23" customFormat="1">
      <c r="A52" s="29"/>
      <c r="D52" s="20"/>
      <c r="E52" s="20"/>
      <c r="F52" s="20"/>
      <c r="G52" s="20"/>
      <c r="H52" s="20"/>
    </row>
    <row r="53" spans="1:10" s="23" customFormat="1">
      <c r="A53" s="29"/>
      <c r="D53" s="20"/>
      <c r="E53" s="20"/>
      <c r="F53" s="20"/>
      <c r="G53" s="20"/>
      <c r="H53" s="20"/>
    </row>
    <row r="54" spans="1:10" s="23" customFormat="1">
      <c r="A54" s="29"/>
      <c r="D54" s="20"/>
      <c r="E54" s="20"/>
      <c r="F54" s="20"/>
      <c r="G54" s="20"/>
      <c r="H54" s="20"/>
    </row>
    <row r="55" spans="1:10" s="23" customFormat="1">
      <c r="A55" s="29"/>
      <c r="D55" s="20"/>
      <c r="E55" s="20"/>
      <c r="F55" s="20"/>
      <c r="G55" s="20"/>
      <c r="H55" s="20"/>
    </row>
    <row r="56" spans="1:10" s="23" customFormat="1">
      <c r="A56" s="29"/>
      <c r="D56" s="20"/>
      <c r="E56" s="20"/>
      <c r="F56" s="20"/>
      <c r="G56" s="20"/>
      <c r="H56" s="20"/>
    </row>
    <row r="57" spans="1:10" s="23" customFormat="1">
      <c r="A57" s="29"/>
      <c r="D57" s="20"/>
      <c r="E57" s="20"/>
      <c r="F57" s="20"/>
      <c r="G57" s="20"/>
      <c r="H57" s="20"/>
    </row>
    <row r="58" spans="1:10" s="23" customFormat="1">
      <c r="A58" s="29"/>
      <c r="D58" s="20"/>
      <c r="E58" s="20"/>
      <c r="F58" s="20"/>
      <c r="G58" s="20"/>
      <c r="H58" s="20"/>
    </row>
    <row r="59" spans="1:10" s="23" customFormat="1">
      <c r="A59" s="29"/>
      <c r="D59" s="20"/>
      <c r="E59" s="20"/>
      <c r="F59" s="20"/>
      <c r="G59" s="20"/>
      <c r="H59" s="20"/>
    </row>
    <row r="60" spans="1:10" s="23" customFormat="1">
      <c r="A60" s="29"/>
      <c r="D60" s="20"/>
      <c r="E60" s="20"/>
      <c r="F60" s="20"/>
      <c r="G60" s="20"/>
      <c r="H60" s="20"/>
    </row>
    <row r="61" spans="1:10" s="23" customFormat="1">
      <c r="A61" s="29"/>
      <c r="D61" s="20"/>
      <c r="E61" s="20"/>
      <c r="F61" s="20"/>
      <c r="G61" s="20"/>
      <c r="H61" s="20"/>
    </row>
    <row r="62" spans="1:10" s="23" customFormat="1">
      <c r="A62" s="29"/>
      <c r="D62" s="20"/>
      <c r="E62" s="20"/>
      <c r="F62" s="20"/>
      <c r="G62" s="20"/>
      <c r="H62" s="20"/>
    </row>
    <row r="63" spans="1:10" s="23" customFormat="1">
      <c r="A63" s="29"/>
      <c r="D63" s="20"/>
      <c r="E63" s="20"/>
      <c r="F63" s="20"/>
      <c r="G63" s="20"/>
      <c r="H63" s="20"/>
    </row>
    <row r="64" spans="1:10" s="23" customFormat="1">
      <c r="A64" s="29"/>
      <c r="D64" s="20"/>
      <c r="E64" s="20"/>
      <c r="F64" s="20"/>
      <c r="G64" s="20"/>
      <c r="H64" s="20"/>
    </row>
    <row r="65" spans="1:8" s="23" customFormat="1">
      <c r="A65" s="29"/>
      <c r="D65" s="20"/>
      <c r="E65" s="20"/>
      <c r="F65" s="20"/>
      <c r="G65" s="20"/>
      <c r="H65" s="20"/>
    </row>
    <row r="66" spans="1:8" s="23" customFormat="1">
      <c r="A66" s="29"/>
      <c r="D66" s="20"/>
      <c r="E66" s="20"/>
      <c r="F66" s="20"/>
      <c r="G66" s="20"/>
      <c r="H66" s="20"/>
    </row>
    <row r="67" spans="1:8" s="23" customFormat="1">
      <c r="A67" s="29"/>
      <c r="D67" s="20"/>
      <c r="E67" s="20"/>
      <c r="F67" s="20"/>
      <c r="G67" s="20"/>
      <c r="H67" s="20"/>
    </row>
    <row r="68" spans="1:8" s="23" customFormat="1">
      <c r="A68" s="29"/>
      <c r="D68" s="20"/>
      <c r="E68" s="20"/>
      <c r="F68" s="20"/>
      <c r="G68" s="20"/>
      <c r="H68" s="20"/>
    </row>
    <row r="69" spans="1:8" s="23" customFormat="1">
      <c r="A69" s="29"/>
      <c r="D69" s="20"/>
      <c r="E69" s="20"/>
      <c r="F69" s="20"/>
      <c r="G69" s="20"/>
      <c r="H69" s="20"/>
    </row>
    <row r="70" spans="1:8" s="23" customFormat="1">
      <c r="A70" s="29"/>
      <c r="D70" s="20"/>
      <c r="E70" s="20"/>
      <c r="F70" s="20"/>
      <c r="G70" s="20"/>
      <c r="H70" s="20"/>
    </row>
    <row r="71" spans="1:8" s="23" customFormat="1">
      <c r="A71" s="29"/>
      <c r="D71" s="20"/>
      <c r="E71" s="20"/>
      <c r="F71" s="20"/>
      <c r="G71" s="20"/>
      <c r="H71" s="20"/>
    </row>
    <row r="72" spans="1:8" s="23" customFormat="1">
      <c r="A72" s="29"/>
      <c r="D72" s="20"/>
      <c r="E72" s="20"/>
      <c r="F72" s="20"/>
      <c r="G72" s="20"/>
      <c r="H72" s="20"/>
    </row>
    <row r="73" spans="1:8" s="23" customFormat="1">
      <c r="A73" s="29"/>
      <c r="D73" s="20"/>
      <c r="E73" s="20"/>
      <c r="F73" s="20"/>
      <c r="G73" s="20"/>
      <c r="H73" s="20"/>
    </row>
    <row r="74" spans="1:8" s="23" customFormat="1">
      <c r="A74" s="29"/>
      <c r="D74" s="20"/>
      <c r="E74" s="20"/>
      <c r="F74" s="20"/>
      <c r="G74" s="20"/>
      <c r="H74" s="20"/>
    </row>
    <row r="75" spans="1:8" s="23" customFormat="1">
      <c r="A75" s="29"/>
      <c r="D75" s="20"/>
      <c r="E75" s="20"/>
      <c r="F75" s="20"/>
      <c r="G75" s="20"/>
      <c r="H75" s="20"/>
    </row>
    <row r="76" spans="1:8" s="23" customFormat="1">
      <c r="A76" s="29"/>
      <c r="D76" s="20"/>
      <c r="E76" s="20"/>
      <c r="F76" s="20"/>
      <c r="G76" s="20"/>
      <c r="H76" s="20"/>
    </row>
    <row r="77" spans="1:8" s="23" customFormat="1">
      <c r="A77" s="29"/>
      <c r="D77" s="20"/>
      <c r="E77" s="20"/>
      <c r="F77" s="20"/>
      <c r="G77" s="20"/>
      <c r="H77" s="20"/>
    </row>
    <row r="78" spans="1:8" s="23" customFormat="1">
      <c r="A78" s="29"/>
      <c r="D78" s="20"/>
      <c r="E78" s="20"/>
      <c r="F78" s="20"/>
      <c r="G78" s="20"/>
      <c r="H78" s="20"/>
    </row>
    <row r="79" spans="1:8" s="23" customFormat="1">
      <c r="A79" s="29"/>
      <c r="D79" s="20"/>
      <c r="E79" s="20"/>
      <c r="F79" s="20"/>
      <c r="G79" s="20"/>
      <c r="H79" s="20"/>
    </row>
    <row r="80" spans="1:8" s="23" customFormat="1">
      <c r="A80" s="29"/>
      <c r="D80" s="20"/>
      <c r="E80" s="20"/>
      <c r="F80" s="20"/>
      <c r="G80" s="20"/>
      <c r="H80" s="20"/>
    </row>
    <row r="81" spans="1:8" s="23" customFormat="1">
      <c r="A81" s="29"/>
      <c r="D81" s="20"/>
      <c r="E81" s="20"/>
      <c r="F81" s="20"/>
      <c r="G81" s="20"/>
      <c r="H81" s="20"/>
    </row>
    <row r="82" spans="1:8" s="23" customFormat="1">
      <c r="A82" s="29"/>
      <c r="D82" s="20"/>
      <c r="E82" s="20"/>
      <c r="F82" s="20"/>
      <c r="G82" s="20"/>
      <c r="H82" s="20"/>
    </row>
    <row r="83" spans="1:8" s="23" customFormat="1">
      <c r="A83" s="29"/>
      <c r="D83" s="20"/>
      <c r="E83" s="20"/>
      <c r="F83" s="20"/>
      <c r="G83" s="20"/>
      <c r="H83" s="20"/>
    </row>
    <row r="84" spans="1:8" s="23" customFormat="1">
      <c r="A84" s="29"/>
      <c r="D84" s="20"/>
      <c r="E84" s="20"/>
      <c r="F84" s="20"/>
      <c r="G84" s="20"/>
      <c r="H84" s="20"/>
    </row>
    <row r="85" spans="1:8" s="23" customFormat="1">
      <c r="A85" s="29"/>
      <c r="D85" s="20"/>
      <c r="E85" s="20"/>
      <c r="F85" s="20"/>
      <c r="G85" s="20"/>
      <c r="H85" s="20"/>
    </row>
    <row r="86" spans="1:8" s="23" customFormat="1">
      <c r="A86" s="29"/>
      <c r="D86" s="20"/>
      <c r="E86" s="20"/>
      <c r="F86" s="20"/>
      <c r="G86" s="20"/>
      <c r="H86" s="20"/>
    </row>
    <row r="87" spans="1:8" s="23" customFormat="1">
      <c r="A87" s="29"/>
      <c r="D87" s="20"/>
      <c r="E87" s="20"/>
      <c r="F87" s="20"/>
      <c r="G87" s="20"/>
      <c r="H87" s="20"/>
    </row>
    <row r="88" spans="1:8" s="23" customFormat="1">
      <c r="A88" s="29"/>
      <c r="D88" s="20"/>
      <c r="E88" s="20"/>
      <c r="F88" s="20"/>
      <c r="G88" s="20"/>
      <c r="H88" s="20"/>
    </row>
    <row r="89" spans="1:8" s="23" customFormat="1">
      <c r="A89" s="29"/>
      <c r="D89" s="20"/>
      <c r="E89" s="20"/>
      <c r="F89" s="20"/>
      <c r="G89" s="20"/>
      <c r="H89" s="20"/>
    </row>
    <row r="90" spans="1:8" s="23" customFormat="1">
      <c r="A90" s="29"/>
      <c r="D90" s="20"/>
      <c r="E90" s="20"/>
      <c r="F90" s="20"/>
      <c r="G90" s="20"/>
      <c r="H90" s="20"/>
    </row>
    <row r="91" spans="1:8" s="23" customFormat="1">
      <c r="A91" s="29"/>
      <c r="D91" s="20"/>
      <c r="E91" s="20"/>
      <c r="F91" s="20"/>
      <c r="G91" s="20"/>
      <c r="H91" s="20"/>
    </row>
    <row r="92" spans="1:8" s="23" customFormat="1">
      <c r="A92" s="29"/>
      <c r="D92" s="20"/>
      <c r="E92" s="20"/>
      <c r="F92" s="20"/>
      <c r="G92" s="20"/>
      <c r="H92" s="20"/>
    </row>
    <row r="93" spans="1:8" s="23" customFormat="1">
      <c r="A93" s="29"/>
      <c r="D93" s="20"/>
      <c r="E93" s="20"/>
      <c r="F93" s="20"/>
      <c r="G93" s="20"/>
      <c r="H93" s="20"/>
    </row>
    <row r="94" spans="1:8" s="23" customFormat="1">
      <c r="A94" s="29"/>
      <c r="D94" s="20"/>
      <c r="E94" s="20"/>
      <c r="F94" s="20"/>
      <c r="G94" s="20"/>
      <c r="H94" s="20"/>
    </row>
    <row r="95" spans="1:8" s="23" customFormat="1">
      <c r="A95" s="29"/>
      <c r="D95" s="20"/>
      <c r="E95" s="20"/>
      <c r="F95" s="20"/>
      <c r="G95" s="20"/>
      <c r="H95" s="20"/>
    </row>
    <row r="96" spans="1:8" s="23" customFormat="1">
      <c r="A96" s="29"/>
      <c r="D96" s="20"/>
      <c r="E96" s="20"/>
      <c r="F96" s="20"/>
      <c r="G96" s="20"/>
      <c r="H96" s="20"/>
    </row>
    <row r="97" spans="1:8" s="23" customFormat="1">
      <c r="A97" s="29"/>
      <c r="D97" s="20"/>
      <c r="E97" s="20"/>
      <c r="F97" s="20"/>
      <c r="G97" s="20"/>
      <c r="H97" s="20"/>
    </row>
    <row r="98" spans="1:8" s="23" customFormat="1">
      <c r="A98" s="29"/>
      <c r="D98" s="20"/>
      <c r="E98" s="20"/>
      <c r="F98" s="20"/>
      <c r="G98" s="20"/>
      <c r="H98" s="20"/>
    </row>
    <row r="99" spans="1:8" s="23" customFormat="1">
      <c r="A99" s="29"/>
      <c r="D99" s="20"/>
      <c r="E99" s="20"/>
      <c r="F99" s="20"/>
      <c r="G99" s="20"/>
      <c r="H99" s="20"/>
    </row>
    <row r="100" spans="1:8" s="23" customFormat="1">
      <c r="A100" s="29"/>
      <c r="D100" s="20"/>
      <c r="E100" s="20"/>
      <c r="F100" s="20"/>
      <c r="G100" s="20"/>
      <c r="H100" s="20"/>
    </row>
    <row r="101" spans="1:8" s="23" customFormat="1">
      <c r="A101" s="29"/>
      <c r="D101" s="20"/>
      <c r="E101" s="20"/>
      <c r="F101" s="20"/>
      <c r="G101" s="20"/>
      <c r="H101" s="20"/>
    </row>
    <row r="102" spans="1:8" s="23" customFormat="1">
      <c r="A102" s="29"/>
      <c r="D102" s="20"/>
      <c r="E102" s="20"/>
      <c r="F102" s="20"/>
      <c r="G102" s="20"/>
      <c r="H102" s="20"/>
    </row>
    <row r="103" spans="1:8" s="23" customFormat="1">
      <c r="A103" s="29"/>
      <c r="D103" s="20"/>
      <c r="E103" s="20"/>
      <c r="F103" s="20"/>
      <c r="G103" s="20"/>
      <c r="H103" s="20"/>
    </row>
    <row r="104" spans="1:8" s="23" customFormat="1">
      <c r="A104" s="29"/>
      <c r="D104" s="20"/>
      <c r="E104" s="20"/>
      <c r="F104" s="20"/>
      <c r="G104" s="20"/>
      <c r="H104" s="20"/>
    </row>
    <row r="105" spans="1:8" s="23" customFormat="1">
      <c r="A105" s="29"/>
      <c r="D105" s="20"/>
      <c r="E105" s="20"/>
      <c r="F105" s="20"/>
      <c r="G105" s="20"/>
      <c r="H105" s="20"/>
    </row>
    <row r="106" spans="1:8" s="23" customFormat="1">
      <c r="A106" s="29"/>
      <c r="D106" s="20"/>
      <c r="E106" s="20"/>
      <c r="F106" s="20"/>
      <c r="G106" s="20"/>
      <c r="H106" s="20"/>
    </row>
    <row r="107" spans="1:8" s="23" customFormat="1">
      <c r="A107" s="29"/>
      <c r="D107" s="20"/>
      <c r="E107" s="20"/>
      <c r="F107" s="20"/>
      <c r="G107" s="20"/>
      <c r="H107" s="20"/>
    </row>
    <row r="108" spans="1:8" s="23" customFormat="1">
      <c r="A108" s="29"/>
      <c r="D108" s="20"/>
      <c r="E108" s="20"/>
      <c r="F108" s="20"/>
      <c r="G108" s="20"/>
      <c r="H108" s="20"/>
    </row>
    <row r="109" spans="1:8" s="23" customFormat="1">
      <c r="A109" s="29"/>
      <c r="D109" s="20"/>
      <c r="E109" s="20"/>
      <c r="F109" s="20"/>
      <c r="G109" s="20"/>
      <c r="H109" s="20"/>
    </row>
    <row r="110" spans="1:8" s="23" customFormat="1">
      <c r="A110" s="29"/>
      <c r="D110" s="20"/>
      <c r="E110" s="20"/>
      <c r="F110" s="20"/>
      <c r="G110" s="20"/>
      <c r="H110" s="20"/>
    </row>
    <row r="111" spans="1:8" s="23" customFormat="1">
      <c r="A111" s="29"/>
      <c r="D111" s="20"/>
      <c r="E111" s="20"/>
      <c r="F111" s="20"/>
      <c r="G111" s="20"/>
      <c r="H111" s="20"/>
    </row>
    <row r="112" spans="1:8" s="23" customFormat="1">
      <c r="A112" s="29"/>
      <c r="D112" s="20"/>
      <c r="E112" s="20"/>
      <c r="F112" s="20"/>
      <c r="G112" s="20"/>
      <c r="H112" s="20"/>
    </row>
    <row r="113" spans="1:8" s="23" customFormat="1">
      <c r="A113" s="29"/>
      <c r="D113" s="20"/>
      <c r="E113" s="20"/>
      <c r="F113" s="20"/>
      <c r="G113" s="20"/>
      <c r="H113" s="20"/>
    </row>
    <row r="114" spans="1:8" s="23" customFormat="1">
      <c r="A114" s="29"/>
      <c r="D114" s="20"/>
      <c r="E114" s="20"/>
      <c r="F114" s="20"/>
      <c r="G114" s="20"/>
      <c r="H114" s="20"/>
    </row>
    <row r="115" spans="1:8" s="23" customFormat="1">
      <c r="A115" s="29"/>
      <c r="D115" s="20"/>
      <c r="E115" s="20"/>
      <c r="F115" s="20"/>
      <c r="G115" s="20"/>
      <c r="H115" s="20"/>
    </row>
    <row r="116" spans="1:8" s="23" customFormat="1">
      <c r="A116" s="29"/>
      <c r="D116" s="20"/>
      <c r="E116" s="20"/>
      <c r="F116" s="20"/>
      <c r="G116" s="20"/>
      <c r="H116" s="20"/>
    </row>
    <row r="117" spans="1:8" s="23" customFormat="1">
      <c r="A117" s="29"/>
      <c r="D117" s="20"/>
      <c r="E117" s="20"/>
      <c r="F117" s="20"/>
      <c r="G117" s="20"/>
      <c r="H117" s="20"/>
    </row>
    <row r="118" spans="1:8" s="23" customFormat="1">
      <c r="A118" s="29"/>
      <c r="D118" s="20"/>
      <c r="E118" s="20"/>
      <c r="F118" s="20"/>
      <c r="G118" s="20"/>
      <c r="H118" s="20"/>
    </row>
    <row r="119" spans="1:8" s="23" customFormat="1">
      <c r="A119" s="29"/>
      <c r="D119" s="20"/>
      <c r="E119" s="20"/>
      <c r="F119" s="20"/>
      <c r="G119" s="20"/>
      <c r="H119" s="20"/>
    </row>
    <row r="120" spans="1:8" s="23" customFormat="1">
      <c r="A120" s="29"/>
      <c r="D120" s="20"/>
      <c r="E120" s="20"/>
      <c r="F120" s="20"/>
      <c r="G120" s="20"/>
      <c r="H120" s="20"/>
    </row>
    <row r="121" spans="1:8" s="23" customFormat="1">
      <c r="A121" s="29"/>
      <c r="D121" s="20"/>
      <c r="E121" s="20"/>
      <c r="F121" s="20"/>
      <c r="G121" s="20"/>
      <c r="H121" s="20"/>
    </row>
    <row r="122" spans="1:8" s="23" customFormat="1">
      <c r="A122" s="29"/>
      <c r="D122" s="20"/>
      <c r="E122" s="20"/>
      <c r="F122" s="20"/>
      <c r="G122" s="20"/>
      <c r="H122" s="20"/>
    </row>
    <row r="123" spans="1:8" s="23" customFormat="1">
      <c r="A123" s="29"/>
      <c r="D123" s="20"/>
      <c r="E123" s="20"/>
      <c r="F123" s="20"/>
      <c r="G123" s="20"/>
      <c r="H123" s="20"/>
    </row>
    <row r="124" spans="1:8" s="23" customFormat="1">
      <c r="A124" s="29"/>
      <c r="D124" s="20"/>
      <c r="E124" s="20"/>
      <c r="F124" s="20"/>
      <c r="G124" s="20"/>
      <c r="H124" s="20"/>
    </row>
    <row r="125" spans="1:8" s="23" customFormat="1">
      <c r="A125" s="29"/>
      <c r="D125" s="20"/>
      <c r="E125" s="20"/>
      <c r="F125" s="20"/>
      <c r="G125" s="20"/>
      <c r="H125" s="20"/>
    </row>
    <row r="126" spans="1:8" s="23" customFormat="1">
      <c r="A126" s="29"/>
      <c r="D126" s="20"/>
      <c r="E126" s="20"/>
      <c r="F126" s="20"/>
      <c r="G126" s="20"/>
      <c r="H126" s="20"/>
    </row>
    <row r="127" spans="1:8" s="23" customFormat="1">
      <c r="A127" s="29"/>
      <c r="D127" s="20"/>
      <c r="E127" s="20"/>
      <c r="F127" s="20"/>
      <c r="G127" s="20"/>
      <c r="H127" s="20"/>
    </row>
    <row r="128" spans="1:8" s="23" customFormat="1">
      <c r="A128" s="29"/>
      <c r="D128" s="20"/>
      <c r="E128" s="20"/>
      <c r="F128" s="20"/>
      <c r="G128" s="20"/>
      <c r="H128" s="20"/>
    </row>
    <row r="129" spans="1:8" s="23" customFormat="1">
      <c r="A129" s="29"/>
      <c r="D129" s="20"/>
      <c r="E129" s="20"/>
      <c r="F129" s="20"/>
      <c r="G129" s="20"/>
      <c r="H129" s="20"/>
    </row>
    <row r="130" spans="1:8" s="23" customFormat="1">
      <c r="A130" s="29"/>
      <c r="D130" s="20"/>
      <c r="E130" s="20"/>
      <c r="F130" s="20"/>
      <c r="G130" s="20"/>
      <c r="H130" s="20"/>
    </row>
    <row r="131" spans="1:8" s="23" customFormat="1">
      <c r="A131" s="29"/>
      <c r="D131" s="20"/>
      <c r="E131" s="20"/>
      <c r="F131" s="20"/>
      <c r="G131" s="20"/>
      <c r="H131" s="20"/>
    </row>
    <row r="132" spans="1:8" s="23" customFormat="1">
      <c r="A132" s="29"/>
      <c r="D132" s="20"/>
      <c r="E132" s="20"/>
      <c r="F132" s="20"/>
      <c r="G132" s="20"/>
      <c r="H132" s="20"/>
    </row>
    <row r="133" spans="1:8" s="23" customFormat="1">
      <c r="A133" s="29"/>
      <c r="D133" s="20"/>
      <c r="E133" s="20"/>
      <c r="F133" s="20"/>
      <c r="G133" s="20"/>
      <c r="H133" s="20"/>
    </row>
    <row r="134" spans="1:8" s="23" customFormat="1">
      <c r="A134" s="29"/>
      <c r="D134" s="20"/>
      <c r="E134" s="20"/>
      <c r="F134" s="20"/>
      <c r="G134" s="20"/>
      <c r="H134" s="20"/>
    </row>
    <row r="135" spans="1:8" s="23" customFormat="1">
      <c r="A135" s="29"/>
      <c r="D135" s="20"/>
      <c r="E135" s="20"/>
      <c r="F135" s="20"/>
      <c r="G135" s="20"/>
      <c r="H135" s="20"/>
    </row>
    <row r="136" spans="1:8" s="23" customFormat="1">
      <c r="A136" s="29"/>
      <c r="D136" s="20"/>
      <c r="E136" s="20"/>
      <c r="F136" s="20"/>
      <c r="G136" s="20"/>
      <c r="H136" s="20"/>
    </row>
    <row r="137" spans="1:8" s="23" customFormat="1">
      <c r="A137" s="29"/>
      <c r="D137" s="20"/>
      <c r="E137" s="20"/>
      <c r="F137" s="20"/>
      <c r="G137" s="20"/>
      <c r="H137" s="20"/>
    </row>
    <row r="138" spans="1:8" s="23" customFormat="1">
      <c r="A138" s="29"/>
      <c r="D138" s="20"/>
      <c r="E138" s="20"/>
      <c r="F138" s="20"/>
      <c r="G138" s="20"/>
      <c r="H138" s="20"/>
    </row>
    <row r="139" spans="1:8" s="23" customFormat="1">
      <c r="A139" s="29"/>
      <c r="D139" s="20"/>
      <c r="E139" s="20"/>
      <c r="F139" s="20"/>
      <c r="G139" s="20"/>
      <c r="H139" s="20"/>
    </row>
    <row r="140" spans="1:8" s="23" customFormat="1">
      <c r="A140" s="29"/>
      <c r="D140" s="20"/>
      <c r="E140" s="20"/>
      <c r="F140" s="20"/>
      <c r="G140" s="20"/>
      <c r="H140" s="20"/>
    </row>
    <row r="141" spans="1:8" s="23" customFormat="1">
      <c r="A141" s="29"/>
      <c r="D141" s="20"/>
      <c r="E141" s="20"/>
      <c r="F141" s="20"/>
      <c r="G141" s="20"/>
      <c r="H141" s="20"/>
    </row>
    <row r="142" spans="1:8" s="23" customFormat="1">
      <c r="A142" s="29"/>
      <c r="D142" s="20"/>
      <c r="E142" s="20"/>
      <c r="F142" s="20"/>
      <c r="G142" s="20"/>
      <c r="H142" s="20"/>
    </row>
    <row r="143" spans="1:8" s="23" customFormat="1">
      <c r="A143" s="29"/>
      <c r="D143" s="20"/>
      <c r="E143" s="20"/>
      <c r="F143" s="20"/>
      <c r="G143" s="20"/>
      <c r="H143" s="20"/>
    </row>
    <row r="144" spans="1:8" s="23" customFormat="1">
      <c r="A144" s="29"/>
      <c r="D144" s="20"/>
      <c r="E144" s="20"/>
      <c r="F144" s="20"/>
      <c r="G144" s="20"/>
      <c r="H144" s="20"/>
    </row>
    <row r="145" spans="1:8" s="23" customFormat="1">
      <c r="A145" s="29"/>
      <c r="D145" s="20"/>
      <c r="E145" s="20"/>
      <c r="F145" s="20"/>
      <c r="G145" s="20"/>
      <c r="H145" s="20"/>
    </row>
    <row r="146" spans="1:8" s="23" customFormat="1">
      <c r="A146" s="29"/>
      <c r="D146" s="20"/>
      <c r="E146" s="20"/>
      <c r="F146" s="20"/>
      <c r="G146" s="20"/>
      <c r="H146" s="20"/>
    </row>
    <row r="147" spans="1:8" s="23" customFormat="1">
      <c r="A147" s="29"/>
      <c r="D147" s="20"/>
      <c r="E147" s="20"/>
      <c r="F147" s="20"/>
      <c r="G147" s="20"/>
      <c r="H147" s="20"/>
    </row>
    <row r="148" spans="1:8" s="23" customFormat="1">
      <c r="A148" s="29"/>
      <c r="D148" s="20"/>
      <c r="E148" s="20"/>
      <c r="F148" s="20"/>
      <c r="G148" s="20"/>
      <c r="H148" s="20"/>
    </row>
    <row r="149" spans="1:8" s="23" customFormat="1">
      <c r="A149" s="29"/>
      <c r="D149" s="20"/>
      <c r="E149" s="20"/>
      <c r="F149" s="20"/>
      <c r="G149" s="20"/>
      <c r="H149" s="20"/>
    </row>
    <row r="150" spans="1:8" s="23" customFormat="1">
      <c r="A150" s="29"/>
      <c r="D150" s="20"/>
      <c r="E150" s="20"/>
      <c r="F150" s="20"/>
      <c r="G150" s="20"/>
      <c r="H150" s="20"/>
    </row>
    <row r="151" spans="1:8" s="23" customFormat="1">
      <c r="A151" s="29"/>
      <c r="D151" s="20"/>
      <c r="E151" s="20"/>
      <c r="F151" s="20"/>
      <c r="G151" s="20"/>
      <c r="H151" s="20"/>
    </row>
    <row r="152" spans="1:8" s="23" customFormat="1">
      <c r="A152" s="29"/>
      <c r="D152" s="20"/>
      <c r="E152" s="20"/>
      <c r="F152" s="20"/>
      <c r="G152" s="20"/>
      <c r="H152" s="20"/>
    </row>
    <row r="153" spans="1:8" s="23" customFormat="1">
      <c r="A153" s="29"/>
      <c r="D153" s="20"/>
      <c r="E153" s="20"/>
      <c r="F153" s="20"/>
      <c r="G153" s="20"/>
      <c r="H153" s="20"/>
    </row>
    <row r="154" spans="1:8" s="23" customFormat="1">
      <c r="A154" s="29"/>
      <c r="D154" s="20"/>
      <c r="E154" s="20"/>
      <c r="F154" s="20"/>
      <c r="G154" s="20"/>
      <c r="H154" s="20"/>
    </row>
    <row r="155" spans="1:8" s="23" customFormat="1">
      <c r="A155" s="29"/>
      <c r="D155" s="20"/>
      <c r="E155" s="20"/>
      <c r="F155" s="20"/>
      <c r="G155" s="20"/>
      <c r="H155" s="20"/>
    </row>
    <row r="156" spans="1:8" s="23" customFormat="1">
      <c r="A156" s="29"/>
      <c r="D156" s="20"/>
      <c r="E156" s="20"/>
      <c r="F156" s="20"/>
      <c r="G156" s="20"/>
      <c r="H156" s="20"/>
    </row>
    <row r="157" spans="1:8" s="23" customFormat="1">
      <c r="A157" s="29"/>
      <c r="D157" s="20"/>
      <c r="E157" s="20"/>
      <c r="F157" s="20"/>
      <c r="G157" s="20"/>
      <c r="H157" s="20"/>
    </row>
    <row r="158" spans="1:8" s="23" customFormat="1">
      <c r="A158" s="29"/>
      <c r="D158" s="20"/>
      <c r="E158" s="20"/>
      <c r="F158" s="20"/>
      <c r="G158" s="20"/>
      <c r="H158" s="20"/>
    </row>
    <row r="159" spans="1:8" s="23" customFormat="1">
      <c r="A159" s="29"/>
      <c r="D159" s="20"/>
      <c r="E159" s="20"/>
      <c r="F159" s="20"/>
      <c r="G159" s="20"/>
      <c r="H159" s="20"/>
    </row>
    <row r="160" spans="1:8" s="23" customFormat="1">
      <c r="A160" s="29"/>
      <c r="D160" s="20"/>
      <c r="E160" s="20"/>
      <c r="F160" s="20"/>
      <c r="G160" s="20"/>
      <c r="H160" s="20"/>
    </row>
    <row r="161" spans="1:8" s="23" customFormat="1">
      <c r="A161" s="29"/>
      <c r="D161" s="20"/>
      <c r="E161" s="20"/>
      <c r="F161" s="20"/>
      <c r="G161" s="20"/>
      <c r="H161" s="20"/>
    </row>
    <row r="162" spans="1:8" s="23" customFormat="1">
      <c r="A162" s="29"/>
      <c r="D162" s="20"/>
      <c r="E162" s="20"/>
      <c r="F162" s="20"/>
      <c r="G162" s="20"/>
      <c r="H162" s="20"/>
    </row>
    <row r="163" spans="1:8" s="23" customFormat="1">
      <c r="A163" s="29"/>
      <c r="D163" s="20"/>
      <c r="E163" s="20"/>
      <c r="F163" s="20"/>
      <c r="G163" s="20"/>
      <c r="H163" s="20"/>
    </row>
    <row r="164" spans="1:8" s="23" customFormat="1">
      <c r="A164" s="29"/>
      <c r="D164" s="20"/>
      <c r="E164" s="20"/>
      <c r="F164" s="20"/>
      <c r="G164" s="20"/>
      <c r="H164" s="20"/>
    </row>
    <row r="165" spans="1:8" s="23" customFormat="1">
      <c r="A165" s="29"/>
      <c r="D165" s="20"/>
      <c r="E165" s="20"/>
      <c r="F165" s="20"/>
      <c r="G165" s="20"/>
      <c r="H165" s="20"/>
    </row>
    <row r="166" spans="1:8" s="23" customFormat="1">
      <c r="A166" s="29"/>
      <c r="D166" s="20"/>
      <c r="E166" s="20"/>
      <c r="F166" s="20"/>
      <c r="G166" s="20"/>
      <c r="H166" s="20"/>
    </row>
    <row r="167" spans="1:8" s="23" customFormat="1">
      <c r="A167" s="29"/>
      <c r="D167" s="20"/>
      <c r="E167" s="20"/>
      <c r="F167" s="20"/>
      <c r="G167" s="20"/>
      <c r="H167" s="20"/>
    </row>
    <row r="168" spans="1:8" s="23" customFormat="1">
      <c r="A168" s="29"/>
      <c r="D168" s="20"/>
      <c r="E168" s="20"/>
      <c r="F168" s="20"/>
      <c r="G168" s="20"/>
      <c r="H168" s="20"/>
    </row>
    <row r="169" spans="1:8" s="23" customFormat="1">
      <c r="A169" s="29"/>
      <c r="D169" s="20"/>
      <c r="E169" s="20"/>
      <c r="F169" s="20"/>
      <c r="G169" s="20"/>
      <c r="H169" s="20"/>
    </row>
    <row r="170" spans="1:8" s="23" customFormat="1">
      <c r="A170" s="29"/>
      <c r="D170" s="20"/>
      <c r="E170" s="20"/>
      <c r="F170" s="20"/>
      <c r="G170" s="20"/>
      <c r="H170" s="20"/>
    </row>
    <row r="171" spans="1:8" s="23" customFormat="1">
      <c r="A171" s="29"/>
      <c r="D171" s="20"/>
      <c r="E171" s="20"/>
      <c r="F171" s="20"/>
      <c r="G171" s="20"/>
      <c r="H171" s="20"/>
    </row>
    <row r="172" spans="1:8" s="23" customFormat="1">
      <c r="A172" s="29"/>
      <c r="D172" s="20"/>
      <c r="E172" s="20"/>
      <c r="F172" s="20"/>
      <c r="G172" s="20"/>
      <c r="H172" s="20"/>
    </row>
    <row r="173" spans="1:8" s="23" customFormat="1">
      <c r="A173" s="29"/>
      <c r="D173" s="20"/>
      <c r="E173" s="20"/>
      <c r="F173" s="20"/>
      <c r="G173" s="20"/>
      <c r="H173" s="20"/>
    </row>
    <row r="174" spans="1:8" s="23" customFormat="1">
      <c r="A174" s="29"/>
      <c r="D174" s="20"/>
      <c r="E174" s="20"/>
      <c r="F174" s="20"/>
      <c r="G174" s="20"/>
      <c r="H174" s="20"/>
    </row>
    <row r="175" spans="1:8" s="23" customFormat="1">
      <c r="A175" s="29"/>
      <c r="D175" s="20"/>
      <c r="E175" s="20"/>
      <c r="F175" s="20"/>
      <c r="G175" s="20"/>
      <c r="H175" s="20"/>
    </row>
    <row r="176" spans="1:8" s="23" customFormat="1">
      <c r="A176" s="29"/>
      <c r="D176" s="20"/>
      <c r="E176" s="20"/>
      <c r="F176" s="20"/>
      <c r="G176" s="20"/>
      <c r="H176" s="20"/>
    </row>
    <row r="177" spans="1:8" s="23" customFormat="1">
      <c r="A177" s="29"/>
      <c r="D177" s="20"/>
      <c r="E177" s="20"/>
      <c r="F177" s="20"/>
      <c r="G177" s="20"/>
      <c r="H177" s="20"/>
    </row>
    <row r="178" spans="1:8" s="23" customFormat="1">
      <c r="A178" s="29"/>
      <c r="D178" s="20"/>
      <c r="E178" s="20"/>
      <c r="F178" s="20"/>
      <c r="G178" s="20"/>
      <c r="H178" s="20"/>
    </row>
    <row r="179" spans="1:8" s="23" customFormat="1">
      <c r="A179" s="29"/>
      <c r="D179" s="20"/>
      <c r="E179" s="20"/>
      <c r="F179" s="20"/>
      <c r="G179" s="20"/>
      <c r="H179" s="20"/>
    </row>
    <row r="180" spans="1:8" s="23" customFormat="1">
      <c r="A180" s="29"/>
      <c r="D180" s="20"/>
      <c r="E180" s="20"/>
      <c r="F180" s="20"/>
      <c r="G180" s="20"/>
      <c r="H180" s="20"/>
    </row>
    <row r="181" spans="1:8" s="23" customFormat="1">
      <c r="A181" s="29"/>
      <c r="D181" s="20"/>
      <c r="E181" s="20"/>
      <c r="F181" s="20"/>
      <c r="G181" s="20"/>
      <c r="H181" s="20"/>
    </row>
    <row r="182" spans="1:8" s="23" customFormat="1">
      <c r="A182" s="29"/>
      <c r="D182" s="20"/>
      <c r="E182" s="20"/>
      <c r="F182" s="20"/>
      <c r="G182" s="20"/>
      <c r="H182" s="20"/>
    </row>
    <row r="183" spans="1:8" s="23" customFormat="1">
      <c r="A183" s="29"/>
      <c r="D183" s="20"/>
      <c r="E183" s="20"/>
      <c r="F183" s="20"/>
      <c r="G183" s="20"/>
      <c r="H183" s="20"/>
    </row>
    <row r="184" spans="1:8" s="23" customFormat="1">
      <c r="A184" s="29"/>
      <c r="D184" s="20"/>
      <c r="E184" s="20"/>
      <c r="F184" s="20"/>
      <c r="G184" s="20"/>
      <c r="H184" s="20"/>
    </row>
    <row r="185" spans="1:8" s="23" customFormat="1">
      <c r="A185" s="29"/>
      <c r="D185" s="20"/>
      <c r="E185" s="20"/>
      <c r="F185" s="20"/>
      <c r="G185" s="20"/>
      <c r="H185" s="20"/>
    </row>
    <row r="186" spans="1:8" s="23" customFormat="1">
      <c r="A186" s="29"/>
      <c r="D186" s="20"/>
      <c r="E186" s="20"/>
      <c r="F186" s="20"/>
      <c r="G186" s="20"/>
      <c r="H186" s="20"/>
    </row>
    <row r="187" spans="1:8" s="23" customFormat="1">
      <c r="A187" s="29"/>
      <c r="D187" s="20"/>
      <c r="E187" s="20"/>
      <c r="F187" s="20"/>
      <c r="G187" s="20"/>
      <c r="H187" s="20"/>
    </row>
    <row r="188" spans="1:8" s="23" customFormat="1">
      <c r="A188" s="29"/>
      <c r="D188" s="20"/>
      <c r="E188" s="20"/>
      <c r="F188" s="20"/>
      <c r="G188" s="20"/>
      <c r="H188" s="20"/>
    </row>
    <row r="189" spans="1:8" s="23" customFormat="1">
      <c r="A189" s="29"/>
      <c r="D189" s="20"/>
      <c r="E189" s="20"/>
      <c r="F189" s="20"/>
      <c r="G189" s="20"/>
      <c r="H189" s="20"/>
    </row>
    <row r="190" spans="1:8" s="23" customFormat="1">
      <c r="A190" s="29"/>
      <c r="D190" s="20"/>
      <c r="E190" s="20"/>
      <c r="F190" s="20"/>
      <c r="G190" s="20"/>
      <c r="H190" s="20"/>
    </row>
    <row r="191" spans="1:8" s="23" customFormat="1">
      <c r="A191" s="29"/>
      <c r="D191" s="20"/>
      <c r="E191" s="20"/>
      <c r="F191" s="20"/>
      <c r="G191" s="20"/>
      <c r="H191" s="20"/>
    </row>
    <row r="192" spans="1:8" s="23" customFormat="1">
      <c r="A192" s="29"/>
      <c r="D192" s="20"/>
      <c r="E192" s="20"/>
      <c r="F192" s="20"/>
      <c r="G192" s="20"/>
      <c r="H192" s="20"/>
    </row>
    <row r="193" spans="1:8" s="23" customFormat="1">
      <c r="A193" s="29"/>
      <c r="D193" s="20"/>
      <c r="E193" s="20"/>
      <c r="F193" s="20"/>
      <c r="G193" s="20"/>
      <c r="H193" s="20"/>
    </row>
    <row r="194" spans="1:8" s="23" customFormat="1">
      <c r="A194" s="29"/>
      <c r="D194" s="20"/>
      <c r="E194" s="20"/>
      <c r="F194" s="20"/>
      <c r="G194" s="20"/>
      <c r="H194" s="20"/>
    </row>
    <row r="195" spans="1:8" s="23" customFormat="1">
      <c r="A195" s="29"/>
      <c r="D195" s="20"/>
      <c r="E195" s="20"/>
      <c r="F195" s="20"/>
      <c r="G195" s="20"/>
      <c r="H195" s="20"/>
    </row>
    <row r="196" spans="1:8" s="23" customFormat="1">
      <c r="A196" s="29"/>
      <c r="D196" s="20"/>
      <c r="E196" s="20"/>
      <c r="F196" s="20"/>
      <c r="G196" s="20"/>
      <c r="H196" s="20"/>
    </row>
    <row r="197" spans="1:8" s="23" customFormat="1">
      <c r="A197" s="29"/>
      <c r="D197" s="20"/>
      <c r="E197" s="20"/>
      <c r="F197" s="20"/>
      <c r="G197" s="20"/>
      <c r="H197" s="20"/>
    </row>
    <row r="198" spans="1:8" s="23" customFormat="1">
      <c r="A198" s="29"/>
      <c r="D198" s="20"/>
      <c r="E198" s="20"/>
      <c r="F198" s="20"/>
      <c r="G198" s="20"/>
      <c r="H198" s="20"/>
    </row>
    <row r="199" spans="1:8" s="23" customFormat="1">
      <c r="A199" s="29"/>
      <c r="D199" s="20"/>
      <c r="E199" s="20"/>
      <c r="F199" s="20"/>
      <c r="G199" s="20"/>
      <c r="H199" s="20"/>
    </row>
    <row r="200" spans="1:8" s="23" customFormat="1">
      <c r="A200" s="29"/>
      <c r="D200" s="20"/>
      <c r="E200" s="20"/>
      <c r="F200" s="20"/>
      <c r="G200" s="20"/>
      <c r="H200" s="20"/>
    </row>
  </sheetData>
  <sheetProtection formatCells="0" formatColumns="0" formatRows="0" insertRows="0" deleteRows="0"/>
  <mergeCells count="7">
    <mergeCell ref="A22:G22"/>
    <mergeCell ref="A6:G6"/>
    <mergeCell ref="A1:G1"/>
    <mergeCell ref="A3:A4"/>
    <mergeCell ref="B3:B4"/>
    <mergeCell ref="C3:C4"/>
    <mergeCell ref="D3:G3"/>
  </mergeCells>
  <phoneticPr fontId="4" type="noConversion"/>
  <pageMargins left="0.78740157480314965" right="0.2" top="0.34" bottom="0.35" header="0.19685039370078741" footer="0.11811023622047245"/>
  <pageSetup paperSize="9" scale="4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3399FF"/>
    <pageSetUpPr fitToPage="1"/>
  </sheetPr>
  <dimension ref="A1:I179"/>
  <sheetViews>
    <sheetView zoomScale="93" zoomScaleNormal="93" zoomScaleSheetLayoutView="75" workbookViewId="0">
      <pane ySplit="5" topLeftCell="A153" activePane="bottomLeft" state="frozen"/>
      <selection pane="bottomLeft" activeCell="I1" sqref="I1:J1048576"/>
    </sheetView>
  </sheetViews>
  <sheetFormatPr defaultRowHeight="18.75" outlineLevelRow="1"/>
  <cols>
    <col min="1" max="1" width="53.28515625" style="1" customWidth="1"/>
    <col min="2" max="2" width="13.7109375" style="1" customWidth="1"/>
    <col min="3" max="3" width="12.140625" style="1" customWidth="1"/>
    <col min="4" max="7" width="13.85546875" style="1" customWidth="1"/>
    <col min="8" max="8" width="0.140625" style="1" customWidth="1"/>
    <col min="9" max="9" width="24.7109375" style="1" customWidth="1"/>
    <col min="10" max="16384" width="9.140625" style="1"/>
  </cols>
  <sheetData>
    <row r="1" spans="1:8">
      <c r="A1" s="391" t="s">
        <v>253</v>
      </c>
      <c r="B1" s="391"/>
      <c r="C1" s="391"/>
      <c r="D1" s="391"/>
      <c r="E1" s="391"/>
      <c r="F1" s="391"/>
      <c r="G1" s="391"/>
      <c r="H1" s="157"/>
    </row>
    <row r="2" spans="1:8" outlineLevel="1">
      <c r="A2" s="11"/>
      <c r="B2" s="11"/>
      <c r="C2" s="11"/>
      <c r="D2" s="11"/>
      <c r="E2" s="11"/>
      <c r="F2" s="11"/>
      <c r="G2" s="11"/>
      <c r="H2" s="11"/>
    </row>
    <row r="3" spans="1:8" ht="48" customHeight="1">
      <c r="A3" s="392" t="s">
        <v>201</v>
      </c>
      <c r="B3" s="394" t="s">
        <v>0</v>
      </c>
      <c r="C3" s="394" t="s">
        <v>469</v>
      </c>
      <c r="D3" s="390" t="s">
        <v>612</v>
      </c>
      <c r="E3" s="390"/>
      <c r="F3" s="390"/>
      <c r="G3" s="390"/>
      <c r="H3" s="26"/>
    </row>
    <row r="4" spans="1:8" ht="38.25" customHeight="1">
      <c r="A4" s="393"/>
      <c r="B4" s="394"/>
      <c r="C4" s="394"/>
      <c r="D4" s="148" t="s">
        <v>463</v>
      </c>
      <c r="E4" s="148" t="s">
        <v>464</v>
      </c>
      <c r="F4" s="214" t="s">
        <v>468</v>
      </c>
      <c r="G4" s="214" t="s">
        <v>466</v>
      </c>
      <c r="H4" s="108"/>
    </row>
    <row r="5" spans="1:8" ht="18" customHeight="1">
      <c r="A5" s="151">
        <v>1</v>
      </c>
      <c r="B5" s="158">
        <v>2</v>
      </c>
      <c r="C5" s="311">
        <v>3</v>
      </c>
      <c r="D5" s="328">
        <v>4</v>
      </c>
      <c r="E5" s="262"/>
      <c r="F5" s="154">
        <v>6</v>
      </c>
      <c r="G5" s="151">
        <v>7</v>
      </c>
      <c r="H5" s="108"/>
    </row>
    <row r="6" spans="1:8" s="28" customFormat="1" ht="20.100000000000001" customHeight="1">
      <c r="A6" s="383" t="s">
        <v>130</v>
      </c>
      <c r="B6" s="384"/>
      <c r="C6" s="384"/>
      <c r="D6" s="384"/>
      <c r="E6" s="384"/>
      <c r="F6" s="384"/>
      <c r="G6" s="385"/>
      <c r="H6" s="19"/>
    </row>
    <row r="7" spans="1:8" ht="37.5">
      <c r="A7" s="21" t="s">
        <v>149</v>
      </c>
      <c r="B7" s="6">
        <v>1170</v>
      </c>
      <c r="C7" s="307">
        <v>-4175</v>
      </c>
      <c r="D7" s="323">
        <v>0</v>
      </c>
      <c r="E7" s="278">
        <v>-1991</v>
      </c>
      <c r="F7" s="263">
        <f t="shared" ref="F7:F32" si="0">E7-D7</f>
        <v>-1991</v>
      </c>
      <c r="G7" s="141" t="e">
        <f t="shared" ref="G7:G32" si="1">E7/D7*100</f>
        <v>#DIV/0!</v>
      </c>
      <c r="H7" s="109"/>
    </row>
    <row r="8" spans="1:8" ht="19.5" customHeight="1">
      <c r="A8" s="21" t="s">
        <v>150</v>
      </c>
      <c r="B8" s="9"/>
      <c r="C8" s="307"/>
      <c r="D8" s="323"/>
      <c r="E8" s="278"/>
      <c r="F8" s="263">
        <f t="shared" si="0"/>
        <v>0</v>
      </c>
      <c r="G8" s="141" t="e">
        <f t="shared" si="1"/>
        <v>#DIV/0!</v>
      </c>
      <c r="H8" s="109"/>
    </row>
    <row r="9" spans="1:8" ht="20.100000000000001" customHeight="1">
      <c r="A9" s="21" t="s">
        <v>153</v>
      </c>
      <c r="B9" s="152">
        <v>3000</v>
      </c>
      <c r="C9" s="307">
        <v>6323</v>
      </c>
      <c r="D9" s="323">
        <v>7507</v>
      </c>
      <c r="E9" s="278">
        <v>8824</v>
      </c>
      <c r="F9" s="263">
        <f t="shared" si="0"/>
        <v>1317</v>
      </c>
      <c r="G9" s="141">
        <f t="shared" si="1"/>
        <v>117.54362594911416</v>
      </c>
      <c r="H9" s="109"/>
    </row>
    <row r="10" spans="1:8" ht="20.100000000000001" customHeight="1">
      <c r="A10" s="21" t="s">
        <v>154</v>
      </c>
      <c r="B10" s="152">
        <v>3010</v>
      </c>
      <c r="C10" s="223">
        <v>0</v>
      </c>
      <c r="D10" s="223">
        <v>0</v>
      </c>
      <c r="E10" s="223">
        <v>1584</v>
      </c>
      <c r="F10" s="263">
        <f t="shared" si="0"/>
        <v>1584</v>
      </c>
      <c r="G10" s="141" t="e">
        <f t="shared" si="1"/>
        <v>#DIV/0!</v>
      </c>
      <c r="H10" s="110"/>
    </row>
    <row r="11" spans="1:8" ht="37.5">
      <c r="A11" s="21" t="s">
        <v>155</v>
      </c>
      <c r="B11" s="152">
        <v>3020</v>
      </c>
      <c r="C11" s="223"/>
      <c r="D11" s="223">
        <v>0</v>
      </c>
      <c r="E11" s="223"/>
      <c r="F11" s="263">
        <f t="shared" si="0"/>
        <v>0</v>
      </c>
      <c r="G11" s="141" t="e">
        <f t="shared" si="1"/>
        <v>#DIV/0!</v>
      </c>
      <c r="H11" s="110"/>
    </row>
    <row r="12" spans="1:8" ht="56.25">
      <c r="A12" s="21" t="s">
        <v>156</v>
      </c>
      <c r="B12" s="152">
        <v>3030</v>
      </c>
      <c r="C12" s="223">
        <v>125136</v>
      </c>
      <c r="D12" s="223">
        <v>90672</v>
      </c>
      <c r="E12" s="223">
        <f>SUM(E13:E19)</f>
        <v>47413</v>
      </c>
      <c r="F12" s="263">
        <f t="shared" si="0"/>
        <v>-43259</v>
      </c>
      <c r="G12" s="141">
        <f t="shared" si="1"/>
        <v>52.290674077995412</v>
      </c>
      <c r="H12" s="110"/>
    </row>
    <row r="13" spans="1:8" ht="37.5">
      <c r="A13" s="192" t="s">
        <v>370</v>
      </c>
      <c r="B13" s="258" t="s">
        <v>343</v>
      </c>
      <c r="C13" s="223">
        <v>-54</v>
      </c>
      <c r="D13" s="323">
        <v>-878</v>
      </c>
      <c r="E13" s="223">
        <v>-3373</v>
      </c>
      <c r="F13" s="263">
        <f t="shared" si="0"/>
        <v>-2495</v>
      </c>
      <c r="G13" s="141">
        <f t="shared" si="1"/>
        <v>384.16856492027335</v>
      </c>
      <c r="H13" s="110"/>
    </row>
    <row r="14" spans="1:8" ht="39" customHeight="1">
      <c r="A14" s="21" t="s">
        <v>564</v>
      </c>
      <c r="B14" s="152" t="s">
        <v>346</v>
      </c>
      <c r="C14" s="223">
        <v>-452</v>
      </c>
      <c r="D14" s="223">
        <v>-6628</v>
      </c>
      <c r="E14" s="223">
        <v>-128</v>
      </c>
      <c r="F14" s="263">
        <f t="shared" si="0"/>
        <v>6500</v>
      </c>
      <c r="G14" s="141">
        <f t="shared" si="1"/>
        <v>1.9312009656004829</v>
      </c>
      <c r="H14" s="110"/>
    </row>
    <row r="15" spans="1:8" ht="39" customHeight="1">
      <c r="A15" s="21" t="s">
        <v>550</v>
      </c>
      <c r="B15" s="152" t="s">
        <v>349</v>
      </c>
      <c r="C15" s="223">
        <v>-1003</v>
      </c>
      <c r="D15" s="223">
        <v>0</v>
      </c>
      <c r="E15" s="223">
        <v>-54</v>
      </c>
      <c r="F15" s="263">
        <f t="shared" si="0"/>
        <v>-54</v>
      </c>
      <c r="G15" s="141" t="e">
        <f t="shared" si="1"/>
        <v>#DIV/0!</v>
      </c>
      <c r="H15" s="110"/>
    </row>
    <row r="16" spans="1:8" ht="39" customHeight="1">
      <c r="A16" s="21" t="s">
        <v>548</v>
      </c>
      <c r="B16" s="258" t="s">
        <v>357</v>
      </c>
      <c r="C16" s="223">
        <v>-9595</v>
      </c>
      <c r="D16" s="223">
        <v>-5451</v>
      </c>
      <c r="E16" s="223">
        <f>147889-148350-E7</f>
        <v>1530</v>
      </c>
      <c r="F16" s="263">
        <f t="shared" si="0"/>
        <v>6981</v>
      </c>
      <c r="G16" s="141">
        <f t="shared" si="1"/>
        <v>-28.068244358833244</v>
      </c>
      <c r="H16" s="110"/>
    </row>
    <row r="17" spans="1:8" ht="28.5" customHeight="1">
      <c r="A17" s="21" t="s">
        <v>603</v>
      </c>
      <c r="B17" s="152" t="s">
        <v>372</v>
      </c>
      <c r="C17" s="223">
        <v>1177</v>
      </c>
      <c r="D17" s="223">
        <v>0</v>
      </c>
      <c r="E17" s="223">
        <f>43+95+5</f>
        <v>143</v>
      </c>
      <c r="F17" s="263">
        <f t="shared" si="0"/>
        <v>143</v>
      </c>
      <c r="G17" s="141" t="e">
        <f t="shared" si="1"/>
        <v>#DIV/0!</v>
      </c>
      <c r="H17" s="110"/>
    </row>
    <row r="18" spans="1:8" ht="19.5" customHeight="1">
      <c r="A18" s="21" t="s">
        <v>356</v>
      </c>
      <c r="B18" s="152" t="s">
        <v>549</v>
      </c>
      <c r="C18" s="223">
        <v>0</v>
      </c>
      <c r="D18" s="223">
        <v>0</v>
      </c>
      <c r="E18" s="223">
        <v>-1530</v>
      </c>
      <c r="F18" s="263">
        <f t="shared" si="0"/>
        <v>-1530</v>
      </c>
      <c r="G18" s="141" t="e">
        <f t="shared" si="1"/>
        <v>#DIV/0!</v>
      </c>
      <c r="H18" s="110"/>
    </row>
    <row r="19" spans="1:8">
      <c r="A19" s="21" t="s">
        <v>552</v>
      </c>
      <c r="B19" s="152" t="s">
        <v>551</v>
      </c>
      <c r="C19" s="223">
        <v>135063</v>
      </c>
      <c r="D19" s="323">
        <v>103629</v>
      </c>
      <c r="E19" s="223">
        <f>2926941-3017826+(123630-12+36+19)-6409+24446</f>
        <v>50825</v>
      </c>
      <c r="F19" s="263">
        <f t="shared" si="0"/>
        <v>-52804</v>
      </c>
      <c r="G19" s="141">
        <f t="shared" si="1"/>
        <v>49.045151453743642</v>
      </c>
      <c r="H19" s="110"/>
    </row>
    <row r="20" spans="1:8" ht="42.75" customHeight="1">
      <c r="A20" s="27" t="s">
        <v>195</v>
      </c>
      <c r="B20" s="40">
        <v>3040</v>
      </c>
      <c r="C20" s="149">
        <f>SUM(C7:C12)</f>
        <v>127284</v>
      </c>
      <c r="D20" s="149">
        <v>98179</v>
      </c>
      <c r="E20" s="149">
        <f>SUM(E7:E12)</f>
        <v>55830</v>
      </c>
      <c r="F20" s="263">
        <f t="shared" si="0"/>
        <v>-42349</v>
      </c>
      <c r="G20" s="141">
        <f t="shared" si="1"/>
        <v>56.865521139958652</v>
      </c>
      <c r="H20" s="177"/>
    </row>
    <row r="21" spans="1:8" ht="37.5">
      <c r="A21" s="21" t="s">
        <v>157</v>
      </c>
      <c r="B21" s="152">
        <v>3050</v>
      </c>
      <c r="C21" s="223">
        <v>-154455</v>
      </c>
      <c r="D21" s="223">
        <v>-54268</v>
      </c>
      <c r="E21" s="223">
        <f>SUM(E22:E25)</f>
        <v>-49747</v>
      </c>
      <c r="F21" s="263">
        <f t="shared" si="0"/>
        <v>4521</v>
      </c>
      <c r="G21" s="141">
        <f t="shared" si="1"/>
        <v>91.669123608756536</v>
      </c>
      <c r="H21" s="110"/>
    </row>
    <row r="22" spans="1:8">
      <c r="A22" s="21" t="s">
        <v>556</v>
      </c>
      <c r="B22" s="258" t="s">
        <v>458</v>
      </c>
      <c r="C22" s="223">
        <v>-2394</v>
      </c>
      <c r="D22" s="223">
        <v>753</v>
      </c>
      <c r="E22" s="223">
        <f>(18085-19947)</f>
        <v>-1862</v>
      </c>
      <c r="F22" s="263">
        <f t="shared" si="0"/>
        <v>-2615</v>
      </c>
      <c r="G22" s="141">
        <f t="shared" si="1"/>
        <v>-247.27755644090306</v>
      </c>
      <c r="H22" s="110"/>
    </row>
    <row r="23" spans="1:8">
      <c r="A23" s="21" t="s">
        <v>557</v>
      </c>
      <c r="B23" s="258" t="s">
        <v>553</v>
      </c>
      <c r="C23" s="223">
        <v>-140519</v>
      </c>
      <c r="D23" s="223">
        <v>-56467</v>
      </c>
      <c r="E23" s="223">
        <f>322444+424953-342672-457889</f>
        <v>-53164</v>
      </c>
      <c r="F23" s="263">
        <f t="shared" si="0"/>
        <v>3303</v>
      </c>
      <c r="G23" s="141">
        <f t="shared" si="1"/>
        <v>94.150565817202974</v>
      </c>
      <c r="H23" s="110"/>
    </row>
    <row r="24" spans="1:8">
      <c r="A24" s="21" t="s">
        <v>558</v>
      </c>
      <c r="B24" s="258" t="s">
        <v>554</v>
      </c>
      <c r="C24" s="223">
        <v>0</v>
      </c>
      <c r="D24" s="223"/>
      <c r="E24" s="223">
        <v>0</v>
      </c>
      <c r="F24" s="263">
        <f t="shared" si="0"/>
        <v>0</v>
      </c>
      <c r="G24" s="141" t="e">
        <f t="shared" si="1"/>
        <v>#DIV/0!</v>
      </c>
      <c r="H24" s="110"/>
    </row>
    <row r="25" spans="1:8">
      <c r="A25" s="21" t="s">
        <v>568</v>
      </c>
      <c r="B25" s="152" t="s">
        <v>555</v>
      </c>
      <c r="C25" s="223">
        <v>-11542</v>
      </c>
      <c r="D25" s="223">
        <v>1446</v>
      </c>
      <c r="E25" s="223">
        <f>78744-73465</f>
        <v>5279</v>
      </c>
      <c r="F25" s="263">
        <f t="shared" si="0"/>
        <v>3833</v>
      </c>
      <c r="G25" s="141">
        <f t="shared" si="1"/>
        <v>365.07607192254494</v>
      </c>
      <c r="H25" s="110"/>
    </row>
    <row r="26" spans="1:8" ht="37.5">
      <c r="A26" s="21" t="s">
        <v>158</v>
      </c>
      <c r="B26" s="152">
        <v>3060</v>
      </c>
      <c r="C26" s="223">
        <v>100651</v>
      </c>
      <c r="D26" s="223">
        <v>3868</v>
      </c>
      <c r="E26" s="223">
        <f>SUM(E27:E29)</f>
        <v>21327</v>
      </c>
      <c r="F26" s="263">
        <f t="shared" si="0"/>
        <v>17459</v>
      </c>
      <c r="G26" s="141">
        <f t="shared" si="1"/>
        <v>551.37021716649429</v>
      </c>
      <c r="H26" s="110"/>
    </row>
    <row r="27" spans="1:8">
      <c r="A27" s="21" t="s">
        <v>559</v>
      </c>
      <c r="B27" s="258" t="s">
        <v>347</v>
      </c>
      <c r="C27" s="223">
        <v>100288</v>
      </c>
      <c r="D27" s="223">
        <v>1785</v>
      </c>
      <c r="E27" s="223">
        <f>343356-326182+25-405+7887-5367</f>
        <v>19314</v>
      </c>
      <c r="F27" s="263">
        <f t="shared" si="0"/>
        <v>17529</v>
      </c>
      <c r="G27" s="141">
        <f t="shared" si="1"/>
        <v>1082.0168067226891</v>
      </c>
      <c r="H27" s="110"/>
    </row>
    <row r="28" spans="1:8">
      <c r="A28" s="21" t="s">
        <v>560</v>
      </c>
      <c r="B28" s="258" t="s">
        <v>562</v>
      </c>
      <c r="C28" s="223">
        <v>0</v>
      </c>
      <c r="D28" s="223"/>
      <c r="E28" s="223"/>
      <c r="F28" s="263">
        <f t="shared" si="0"/>
        <v>0</v>
      </c>
      <c r="G28" s="141" t="e">
        <f t="shared" si="1"/>
        <v>#DIV/0!</v>
      </c>
      <c r="H28" s="110"/>
    </row>
    <row r="29" spans="1:8">
      <c r="A29" s="21" t="s">
        <v>561</v>
      </c>
      <c r="B29" s="258" t="s">
        <v>563</v>
      </c>
      <c r="C29" s="223">
        <v>363</v>
      </c>
      <c r="D29" s="223">
        <v>2083</v>
      </c>
      <c r="E29" s="223">
        <f>23199-21186</f>
        <v>2013</v>
      </c>
      <c r="F29" s="263">
        <f t="shared" si="0"/>
        <v>-70</v>
      </c>
      <c r="G29" s="141">
        <f t="shared" si="1"/>
        <v>96.639462313970242</v>
      </c>
      <c r="H29" s="110"/>
    </row>
    <row r="30" spans="1:8" ht="35.25" customHeight="1">
      <c r="A30" s="27" t="s">
        <v>151</v>
      </c>
      <c r="B30" s="40">
        <v>3070</v>
      </c>
      <c r="C30" s="149">
        <f>SUM(C20:C21)+C26</f>
        <v>73480</v>
      </c>
      <c r="D30" s="149">
        <v>47779</v>
      </c>
      <c r="E30" s="149">
        <f>SUM(E20:E21)+E26</f>
        <v>27410</v>
      </c>
      <c r="F30" s="263">
        <f t="shared" si="0"/>
        <v>-20369</v>
      </c>
      <c r="G30" s="141">
        <f t="shared" si="1"/>
        <v>57.368299880700725</v>
      </c>
      <c r="H30" s="177"/>
    </row>
    <row r="31" spans="1:8" ht="17.25" customHeight="1">
      <c r="A31" s="21" t="s">
        <v>152</v>
      </c>
      <c r="B31" s="152">
        <v>3080</v>
      </c>
      <c r="C31" s="307">
        <f>'I. Фін результат'!C143</f>
        <v>0</v>
      </c>
      <c r="D31" s="323">
        <v>0</v>
      </c>
      <c r="E31" s="278">
        <v>0</v>
      </c>
      <c r="F31" s="263">
        <f t="shared" si="0"/>
        <v>0</v>
      </c>
      <c r="G31" s="141" t="e">
        <f t="shared" si="1"/>
        <v>#DIV/0!</v>
      </c>
      <c r="H31" s="109"/>
    </row>
    <row r="32" spans="1:8" ht="37.5">
      <c r="A32" s="7" t="s">
        <v>129</v>
      </c>
      <c r="B32" s="40">
        <v>3090</v>
      </c>
      <c r="C32" s="149">
        <f>C30-C31</f>
        <v>73480</v>
      </c>
      <c r="D32" s="149">
        <v>47779</v>
      </c>
      <c r="E32" s="149">
        <f>E30-E31</f>
        <v>27410</v>
      </c>
      <c r="F32" s="263">
        <f t="shared" si="0"/>
        <v>-20369</v>
      </c>
      <c r="G32" s="141">
        <f t="shared" si="1"/>
        <v>57.368299880700725</v>
      </c>
      <c r="H32" s="177"/>
    </row>
    <row r="33" spans="1:8" ht="39.75" customHeight="1">
      <c r="A33" s="380" t="s">
        <v>131</v>
      </c>
      <c r="B33" s="381"/>
      <c r="C33" s="381"/>
      <c r="D33" s="381"/>
      <c r="E33" s="381"/>
      <c r="F33" s="381"/>
      <c r="G33" s="382"/>
      <c r="H33" s="19"/>
    </row>
    <row r="34" spans="1:8" ht="20.100000000000001" customHeight="1">
      <c r="A34" s="27" t="s">
        <v>215</v>
      </c>
      <c r="B34" s="6"/>
      <c r="C34" s="312"/>
      <c r="D34" s="333"/>
      <c r="E34" s="270"/>
      <c r="F34" s="263">
        <f t="shared" ref="F34:F66" si="2">E34-D34</f>
        <v>0</v>
      </c>
      <c r="G34" s="141" t="e">
        <f t="shared" ref="G34:G66" si="3">E34/D34*100</f>
        <v>#DIV/0!</v>
      </c>
      <c r="H34" s="111"/>
    </row>
    <row r="35" spans="1:8" ht="20.100000000000001" customHeight="1">
      <c r="A35" s="5" t="s">
        <v>31</v>
      </c>
      <c r="B35" s="6">
        <v>3200</v>
      </c>
      <c r="C35" s="312">
        <v>0</v>
      </c>
      <c r="D35" s="333">
        <v>0</v>
      </c>
      <c r="E35" s="270"/>
      <c r="F35" s="263">
        <f t="shared" si="2"/>
        <v>0</v>
      </c>
      <c r="G35" s="141" t="e">
        <f t="shared" si="3"/>
        <v>#DIV/0!</v>
      </c>
      <c r="H35" s="111"/>
    </row>
    <row r="36" spans="1:8" ht="33" customHeight="1">
      <c r="A36" s="5" t="s">
        <v>32</v>
      </c>
      <c r="B36" s="6">
        <v>3210</v>
      </c>
      <c r="C36" s="312">
        <v>0</v>
      </c>
      <c r="D36" s="333">
        <v>0</v>
      </c>
      <c r="E36" s="270"/>
      <c r="F36" s="263">
        <f t="shared" si="2"/>
        <v>0</v>
      </c>
      <c r="G36" s="141" t="e">
        <f t="shared" si="3"/>
        <v>#DIV/0!</v>
      </c>
      <c r="H36" s="111"/>
    </row>
    <row r="37" spans="1:8" ht="20.100000000000001" customHeight="1">
      <c r="A37" s="5" t="s">
        <v>51</v>
      </c>
      <c r="B37" s="6">
        <v>3220</v>
      </c>
      <c r="C37" s="312">
        <v>0</v>
      </c>
      <c r="D37" s="333">
        <v>0</v>
      </c>
      <c r="E37" s="270"/>
      <c r="F37" s="263">
        <f t="shared" si="2"/>
        <v>0</v>
      </c>
      <c r="G37" s="141" t="e">
        <f t="shared" si="3"/>
        <v>#DIV/0!</v>
      </c>
      <c r="H37" s="111"/>
    </row>
    <row r="38" spans="1:8" ht="18.75" customHeight="1">
      <c r="A38" s="21" t="s">
        <v>135</v>
      </c>
      <c r="B38" s="6"/>
      <c r="C38" s="312"/>
      <c r="D38" s="333"/>
      <c r="E38" s="270"/>
      <c r="F38" s="263">
        <f t="shared" si="2"/>
        <v>0</v>
      </c>
      <c r="G38" s="141" t="e">
        <f t="shared" si="3"/>
        <v>#DIV/0!</v>
      </c>
      <c r="H38" s="111"/>
    </row>
    <row r="39" spans="1:8" ht="20.100000000000001" customHeight="1">
      <c r="A39" s="5" t="s">
        <v>136</v>
      </c>
      <c r="B39" s="6">
        <v>3230</v>
      </c>
      <c r="C39" s="312">
        <v>0</v>
      </c>
      <c r="D39" s="349">
        <v>0</v>
      </c>
      <c r="E39" s="270"/>
      <c r="F39" s="263">
        <f t="shared" si="2"/>
        <v>0</v>
      </c>
      <c r="G39" s="141" t="e">
        <f t="shared" si="3"/>
        <v>#DIV/0!</v>
      </c>
      <c r="H39" s="111"/>
    </row>
    <row r="40" spans="1:8" ht="20.100000000000001" customHeight="1">
      <c r="A40" s="5" t="s">
        <v>137</v>
      </c>
      <c r="B40" s="6">
        <v>3240</v>
      </c>
      <c r="C40" s="312">
        <v>0</v>
      </c>
      <c r="D40" s="333">
        <v>0</v>
      </c>
      <c r="E40" s="270"/>
      <c r="F40" s="263">
        <f t="shared" si="2"/>
        <v>0</v>
      </c>
      <c r="G40" s="141" t="e">
        <f t="shared" si="3"/>
        <v>#DIV/0!</v>
      </c>
      <c r="H40" s="111"/>
    </row>
    <row r="41" spans="1:8" ht="20.100000000000001" customHeight="1">
      <c r="A41" s="21" t="s">
        <v>138</v>
      </c>
      <c r="B41" s="6">
        <v>3250</v>
      </c>
      <c r="C41" s="312">
        <v>0</v>
      </c>
      <c r="D41" s="333">
        <v>0</v>
      </c>
      <c r="E41" s="270"/>
      <c r="F41" s="263">
        <f t="shared" si="2"/>
        <v>0</v>
      </c>
      <c r="G41" s="141" t="e">
        <f t="shared" si="3"/>
        <v>#DIV/0!</v>
      </c>
      <c r="H41" s="111"/>
    </row>
    <row r="42" spans="1:8" ht="20.100000000000001" customHeight="1">
      <c r="A42" s="7" t="s">
        <v>100</v>
      </c>
      <c r="B42" s="8">
        <v>3260</v>
      </c>
      <c r="C42" s="103">
        <f>C44+C48</f>
        <v>335270</v>
      </c>
      <c r="D42" s="103">
        <v>1075630</v>
      </c>
      <c r="E42" s="103">
        <f>E44+E49</f>
        <v>115686</v>
      </c>
      <c r="F42" s="263">
        <f t="shared" si="2"/>
        <v>-959944</v>
      </c>
      <c r="G42" s="141">
        <f t="shared" si="3"/>
        <v>10.755185333246562</v>
      </c>
      <c r="H42" s="112"/>
    </row>
    <row r="43" spans="1:8" ht="20.100000000000001" customHeight="1">
      <c r="A43" s="5" t="s">
        <v>479</v>
      </c>
      <c r="B43" s="6" t="s">
        <v>480</v>
      </c>
      <c r="C43" s="103">
        <v>0</v>
      </c>
      <c r="D43" s="333">
        <v>0</v>
      </c>
      <c r="E43" s="112"/>
      <c r="F43" s="263">
        <f t="shared" si="2"/>
        <v>0</v>
      </c>
      <c r="G43" s="141" t="e">
        <f t="shared" si="3"/>
        <v>#DIV/0!</v>
      </c>
      <c r="H43" s="112"/>
    </row>
    <row r="44" spans="1:8" ht="20.100000000000001" customHeight="1">
      <c r="A44" s="5" t="s">
        <v>100</v>
      </c>
      <c r="B44" s="6" t="s">
        <v>481</v>
      </c>
      <c r="C44" s="103">
        <f>C45+C46+C47</f>
        <v>330967</v>
      </c>
      <c r="D44" s="333">
        <v>1075630</v>
      </c>
      <c r="E44" s="103">
        <f>E45+E46+E47</f>
        <v>114861</v>
      </c>
      <c r="F44" s="263">
        <f t="shared" si="2"/>
        <v>-960769</v>
      </c>
      <c r="G44" s="141">
        <f t="shared" si="3"/>
        <v>10.678486096520178</v>
      </c>
      <c r="H44" s="112"/>
    </row>
    <row r="45" spans="1:8" ht="91.5" customHeight="1">
      <c r="A45" s="248" t="s">
        <v>428</v>
      </c>
      <c r="B45" s="178" t="s">
        <v>476</v>
      </c>
      <c r="C45" s="319">
        <v>46264</v>
      </c>
      <c r="D45" s="333">
        <v>55656</v>
      </c>
      <c r="E45" s="238">
        <v>11111</v>
      </c>
      <c r="F45" s="263">
        <f t="shared" si="2"/>
        <v>-44545</v>
      </c>
      <c r="G45" s="141">
        <f t="shared" si="3"/>
        <v>19.96370562023861</v>
      </c>
      <c r="H45" s="112"/>
    </row>
    <row r="46" spans="1:8" ht="69.75" customHeight="1">
      <c r="A46" s="248" t="s">
        <v>420</v>
      </c>
      <c r="B46" s="179" t="s">
        <v>477</v>
      </c>
      <c r="C46" s="333">
        <v>284703</v>
      </c>
      <c r="D46" s="333">
        <v>1006474</v>
      </c>
      <c r="E46" s="238">
        <v>103750</v>
      </c>
      <c r="F46" s="263">
        <f t="shared" si="2"/>
        <v>-902724</v>
      </c>
      <c r="G46" s="141">
        <f t="shared" si="3"/>
        <v>10.3082642969416</v>
      </c>
      <c r="H46" s="112"/>
    </row>
    <row r="47" spans="1:8" ht="84" customHeight="1">
      <c r="A47" s="248" t="s">
        <v>523</v>
      </c>
      <c r="B47" s="180" t="s">
        <v>478</v>
      </c>
      <c r="C47" s="333"/>
      <c r="D47" s="333">
        <v>13500</v>
      </c>
      <c r="E47" s="283">
        <v>0</v>
      </c>
      <c r="F47" s="263">
        <f t="shared" si="2"/>
        <v>-13500</v>
      </c>
      <c r="G47" s="141">
        <f t="shared" si="3"/>
        <v>0</v>
      </c>
      <c r="H47" s="112"/>
    </row>
    <row r="48" spans="1:8" ht="84" customHeight="1">
      <c r="A48" s="248" t="s">
        <v>524</v>
      </c>
      <c r="B48" s="180" t="s">
        <v>500</v>
      </c>
      <c r="C48" s="333">
        <v>4303</v>
      </c>
      <c r="D48" s="333">
        <v>0</v>
      </c>
      <c r="E48" s="288">
        <v>0</v>
      </c>
      <c r="F48" s="263">
        <f t="shared" ref="F48" si="4">E48-D48</f>
        <v>0</v>
      </c>
      <c r="G48" s="141" t="e">
        <f t="shared" ref="G48" si="5">E48/D48*100</f>
        <v>#DIV/0!</v>
      </c>
      <c r="H48" s="112"/>
    </row>
    <row r="49" spans="1:9" ht="84" customHeight="1">
      <c r="A49" s="248" t="s">
        <v>605</v>
      </c>
      <c r="B49" s="180" t="s">
        <v>604</v>
      </c>
      <c r="C49" s="316">
        <v>0</v>
      </c>
      <c r="D49" s="333"/>
      <c r="E49" s="283">
        <f>166+659</f>
        <v>825</v>
      </c>
      <c r="F49" s="263">
        <f t="shared" si="2"/>
        <v>825</v>
      </c>
      <c r="G49" s="141" t="e">
        <f t="shared" si="3"/>
        <v>#DIV/0!</v>
      </c>
      <c r="H49" s="112"/>
    </row>
    <row r="50" spans="1:9" ht="21.75" customHeight="1">
      <c r="A50" s="27" t="s">
        <v>217</v>
      </c>
      <c r="B50" s="6"/>
      <c r="C50" s="312"/>
      <c r="D50" s="82">
        <v>0</v>
      </c>
      <c r="E50" s="283"/>
      <c r="F50" s="263">
        <f t="shared" si="2"/>
        <v>0</v>
      </c>
      <c r="G50" s="141" t="e">
        <f t="shared" si="3"/>
        <v>#DIV/0!</v>
      </c>
      <c r="H50" s="111"/>
    </row>
    <row r="51" spans="1:9" ht="45.75" customHeight="1">
      <c r="A51" s="7" t="s">
        <v>101</v>
      </c>
      <c r="B51" s="8">
        <v>3270</v>
      </c>
      <c r="C51" s="82">
        <f>SUM(C52:C77)</f>
        <v>0</v>
      </c>
      <c r="D51" s="223">
        <v>0</v>
      </c>
      <c r="E51" s="82">
        <f>SUM(E52:E72)</f>
        <v>372</v>
      </c>
      <c r="F51" s="263">
        <f t="shared" si="2"/>
        <v>372</v>
      </c>
      <c r="G51" s="141" t="e">
        <f t="shared" si="3"/>
        <v>#DIV/0!</v>
      </c>
      <c r="H51" s="113"/>
      <c r="I51" s="1" t="s">
        <v>581</v>
      </c>
    </row>
    <row r="52" spans="1:9" ht="18.75" customHeight="1">
      <c r="A52" s="121" t="s">
        <v>381</v>
      </c>
      <c r="B52" s="106" t="s">
        <v>367</v>
      </c>
      <c r="C52" s="317">
        <v>0</v>
      </c>
      <c r="D52" s="223">
        <v>0</v>
      </c>
      <c r="E52" s="223"/>
      <c r="F52" s="263">
        <f t="shared" si="2"/>
        <v>0</v>
      </c>
      <c r="G52" s="141" t="e">
        <f t="shared" si="3"/>
        <v>#DIV/0!</v>
      </c>
      <c r="H52" s="110"/>
    </row>
    <row r="53" spans="1:9" ht="19.5" customHeight="1">
      <c r="A53" s="121" t="s">
        <v>525</v>
      </c>
      <c r="B53" s="106" t="s">
        <v>369</v>
      </c>
      <c r="C53" s="317">
        <v>0</v>
      </c>
      <c r="D53" s="223">
        <v>0</v>
      </c>
      <c r="E53" s="223"/>
      <c r="F53" s="263">
        <f t="shared" si="2"/>
        <v>0</v>
      </c>
      <c r="G53" s="141" t="e">
        <f t="shared" si="3"/>
        <v>#DIV/0!</v>
      </c>
      <c r="H53" s="110"/>
    </row>
    <row r="54" spans="1:9" ht="18" customHeight="1">
      <c r="A54" s="121" t="s">
        <v>415</v>
      </c>
      <c r="B54" s="106" t="s">
        <v>383</v>
      </c>
      <c r="C54" s="317">
        <v>0</v>
      </c>
      <c r="D54" s="333">
        <v>0</v>
      </c>
      <c r="E54" s="223"/>
      <c r="F54" s="263">
        <f t="shared" si="2"/>
        <v>0</v>
      </c>
      <c r="G54" s="141" t="e">
        <f t="shared" si="3"/>
        <v>#DIV/0!</v>
      </c>
      <c r="H54" s="181"/>
    </row>
    <row r="55" spans="1:9" ht="19.5" customHeight="1">
      <c r="A55" s="121" t="s">
        <v>381</v>
      </c>
      <c r="B55" s="106" t="s">
        <v>384</v>
      </c>
      <c r="C55" s="317">
        <v>0</v>
      </c>
      <c r="D55" s="223">
        <v>0</v>
      </c>
      <c r="E55" s="283"/>
      <c r="F55" s="263">
        <f t="shared" si="2"/>
        <v>0</v>
      </c>
      <c r="G55" s="141" t="e">
        <f t="shared" si="3"/>
        <v>#DIV/0!</v>
      </c>
      <c r="H55" s="110"/>
    </row>
    <row r="56" spans="1:9" ht="20.25" customHeight="1">
      <c r="A56" s="121" t="s">
        <v>483</v>
      </c>
      <c r="B56" s="106" t="s">
        <v>385</v>
      </c>
      <c r="C56" s="318">
        <v>0</v>
      </c>
      <c r="D56" s="223">
        <v>0</v>
      </c>
      <c r="E56" s="223"/>
      <c r="F56" s="263">
        <f t="shared" si="2"/>
        <v>0</v>
      </c>
      <c r="G56" s="141" t="e">
        <f t="shared" si="3"/>
        <v>#DIV/0!</v>
      </c>
      <c r="H56" s="110"/>
    </row>
    <row r="57" spans="1:9" ht="33" customHeight="1">
      <c r="A57" s="121" t="s">
        <v>504</v>
      </c>
      <c r="B57" s="106" t="s">
        <v>386</v>
      </c>
      <c r="C57" s="318">
        <v>0</v>
      </c>
      <c r="D57" s="223">
        <v>0</v>
      </c>
      <c r="E57" s="223"/>
      <c r="F57" s="263">
        <f t="shared" si="2"/>
        <v>0</v>
      </c>
      <c r="G57" s="141" t="e">
        <f t="shared" si="3"/>
        <v>#DIV/0!</v>
      </c>
      <c r="H57" s="110"/>
    </row>
    <row r="58" spans="1:9">
      <c r="A58" s="121" t="s">
        <v>505</v>
      </c>
      <c r="B58" s="106" t="s">
        <v>387</v>
      </c>
      <c r="C58" s="318">
        <v>0</v>
      </c>
      <c r="D58" s="223"/>
      <c r="E58" s="223"/>
      <c r="F58" s="263">
        <f t="shared" si="2"/>
        <v>0</v>
      </c>
      <c r="G58" s="141" t="e">
        <f t="shared" si="3"/>
        <v>#DIV/0!</v>
      </c>
      <c r="H58" s="110"/>
    </row>
    <row r="59" spans="1:9" ht="19.5" customHeight="1">
      <c r="A59" s="182" t="s">
        <v>486</v>
      </c>
      <c r="B59" s="106" t="s">
        <v>388</v>
      </c>
      <c r="C59" s="318">
        <v>0</v>
      </c>
      <c r="D59" s="223"/>
      <c r="E59" s="223"/>
      <c r="F59" s="263">
        <f t="shared" si="2"/>
        <v>0</v>
      </c>
      <c r="G59" s="141" t="e">
        <f t="shared" si="3"/>
        <v>#DIV/0!</v>
      </c>
      <c r="H59" s="156"/>
    </row>
    <row r="60" spans="1:9">
      <c r="A60" s="121" t="s">
        <v>487</v>
      </c>
      <c r="B60" s="106" t="s">
        <v>389</v>
      </c>
      <c r="C60" s="318">
        <v>0</v>
      </c>
      <c r="D60" s="223">
        <v>0</v>
      </c>
      <c r="E60" s="223"/>
      <c r="F60" s="263">
        <f t="shared" si="2"/>
        <v>0</v>
      </c>
      <c r="G60" s="141" t="e">
        <f t="shared" si="3"/>
        <v>#DIV/0!</v>
      </c>
      <c r="H60" s="110"/>
    </row>
    <row r="61" spans="1:9">
      <c r="A61" s="121" t="s">
        <v>484</v>
      </c>
      <c r="B61" s="106" t="s">
        <v>390</v>
      </c>
      <c r="C61" s="318">
        <v>0</v>
      </c>
      <c r="D61" s="223">
        <v>0</v>
      </c>
      <c r="E61" s="223"/>
      <c r="F61" s="263">
        <f t="shared" si="2"/>
        <v>0</v>
      </c>
      <c r="G61" s="141" t="e">
        <f t="shared" si="3"/>
        <v>#DIV/0!</v>
      </c>
      <c r="H61" s="110"/>
    </row>
    <row r="62" spans="1:9" ht="25.5" customHeight="1">
      <c r="A62" s="121" t="s">
        <v>547</v>
      </c>
      <c r="B62" s="106" t="s">
        <v>391</v>
      </c>
      <c r="C62" s="318">
        <v>0</v>
      </c>
      <c r="D62" s="327">
        <v>0</v>
      </c>
      <c r="E62" s="223"/>
      <c r="F62" s="263">
        <f t="shared" si="2"/>
        <v>0</v>
      </c>
      <c r="G62" s="141" t="e">
        <f t="shared" si="3"/>
        <v>#DIV/0!</v>
      </c>
      <c r="H62" s="110"/>
    </row>
    <row r="63" spans="1:9" ht="18" customHeight="1">
      <c r="A63" s="121" t="s">
        <v>485</v>
      </c>
      <c r="B63" s="106" t="s">
        <v>470</v>
      </c>
      <c r="C63" s="318">
        <v>0</v>
      </c>
      <c r="D63" s="318">
        <v>0</v>
      </c>
      <c r="E63" s="279"/>
      <c r="F63" s="263">
        <f t="shared" si="2"/>
        <v>0</v>
      </c>
      <c r="G63" s="141" t="e">
        <f t="shared" si="3"/>
        <v>#DIV/0!</v>
      </c>
      <c r="H63" s="156"/>
    </row>
    <row r="64" spans="1:9" ht="22.5" customHeight="1">
      <c r="A64" s="121" t="s">
        <v>614</v>
      </c>
      <c r="B64" s="106" t="s">
        <v>409</v>
      </c>
      <c r="C64" s="318">
        <v>0</v>
      </c>
      <c r="D64" s="318">
        <v>0</v>
      </c>
      <c r="E64" s="279">
        <v>32</v>
      </c>
      <c r="F64" s="263">
        <f t="shared" si="2"/>
        <v>32</v>
      </c>
      <c r="G64" s="141" t="e">
        <f t="shared" si="3"/>
        <v>#DIV/0!</v>
      </c>
      <c r="H64" s="156"/>
    </row>
    <row r="65" spans="1:8" ht="22.5" customHeight="1">
      <c r="A65" s="121" t="s">
        <v>482</v>
      </c>
      <c r="B65" s="106" t="s">
        <v>506</v>
      </c>
      <c r="C65" s="318">
        <v>0</v>
      </c>
      <c r="D65" s="318">
        <v>0</v>
      </c>
      <c r="E65" s="279"/>
      <c r="F65" s="263">
        <f t="shared" si="2"/>
        <v>0</v>
      </c>
      <c r="G65" s="141" t="e">
        <f t="shared" si="3"/>
        <v>#DIV/0!</v>
      </c>
      <c r="H65" s="156"/>
    </row>
    <row r="66" spans="1:8" ht="15" customHeight="1">
      <c r="A66" s="121" t="s">
        <v>440</v>
      </c>
      <c r="B66" s="106" t="s">
        <v>410</v>
      </c>
      <c r="C66" s="312">
        <v>0</v>
      </c>
      <c r="D66" s="318">
        <v>0</v>
      </c>
      <c r="E66" s="279"/>
      <c r="F66" s="263">
        <f t="shared" si="2"/>
        <v>0</v>
      </c>
      <c r="G66" s="141" t="e">
        <f t="shared" si="3"/>
        <v>#DIV/0!</v>
      </c>
      <c r="H66" s="156"/>
    </row>
    <row r="67" spans="1:8" ht="16.5" customHeight="1">
      <c r="A67" s="121" t="s">
        <v>441</v>
      </c>
      <c r="B67" s="106" t="s">
        <v>507</v>
      </c>
      <c r="C67" s="312">
        <v>0</v>
      </c>
      <c r="D67" s="318">
        <v>0</v>
      </c>
      <c r="E67" s="279"/>
      <c r="F67" s="263">
        <f t="shared" ref="F67:F98" si="6">E67-D67</f>
        <v>0</v>
      </c>
      <c r="G67" s="141" t="e">
        <f t="shared" ref="G67:G98" si="7">E67/D67*100</f>
        <v>#DIV/0!</v>
      </c>
      <c r="H67" s="156"/>
    </row>
    <row r="68" spans="1:8" ht="13.5" customHeight="1">
      <c r="A68" s="107" t="s">
        <v>442</v>
      </c>
      <c r="B68" s="106" t="s">
        <v>411</v>
      </c>
      <c r="C68" s="312">
        <v>0</v>
      </c>
      <c r="D68" s="318">
        <v>0</v>
      </c>
      <c r="E68" s="279"/>
      <c r="F68" s="263">
        <f t="shared" si="6"/>
        <v>0</v>
      </c>
      <c r="G68" s="141" t="e">
        <f t="shared" si="7"/>
        <v>#DIV/0!</v>
      </c>
      <c r="H68" s="156"/>
    </row>
    <row r="69" spans="1:8" ht="15.75" customHeight="1">
      <c r="A69" s="121" t="s">
        <v>443</v>
      </c>
      <c r="B69" s="106" t="s">
        <v>412</v>
      </c>
      <c r="C69" s="312">
        <v>0</v>
      </c>
      <c r="D69" s="318">
        <v>0</v>
      </c>
      <c r="E69" s="279"/>
      <c r="F69" s="263">
        <f t="shared" si="6"/>
        <v>0</v>
      </c>
      <c r="G69" s="141" t="e">
        <f t="shared" si="7"/>
        <v>#DIV/0!</v>
      </c>
      <c r="H69" s="241"/>
    </row>
    <row r="70" spans="1:8" ht="18" customHeight="1">
      <c r="A70" s="121" t="s">
        <v>492</v>
      </c>
      <c r="B70" s="106" t="s">
        <v>416</v>
      </c>
      <c r="C70" s="317">
        <v>0</v>
      </c>
      <c r="D70" s="318">
        <v>0</v>
      </c>
      <c r="E70" s="279"/>
      <c r="F70" s="263">
        <f t="shared" si="6"/>
        <v>0</v>
      </c>
      <c r="G70" s="141" t="e">
        <f t="shared" si="7"/>
        <v>#DIV/0!</v>
      </c>
      <c r="H70" s="156"/>
    </row>
    <row r="71" spans="1:8" ht="18" customHeight="1">
      <c r="A71" s="121" t="s">
        <v>485</v>
      </c>
      <c r="B71" s="106" t="s">
        <v>488</v>
      </c>
      <c r="C71" s="317">
        <v>0</v>
      </c>
      <c r="D71" s="318">
        <v>0</v>
      </c>
      <c r="E71" s="279"/>
      <c r="F71" s="263">
        <f t="shared" si="6"/>
        <v>0</v>
      </c>
      <c r="G71" s="141" t="e">
        <f t="shared" si="7"/>
        <v>#DIV/0!</v>
      </c>
      <c r="H71" s="156"/>
    </row>
    <row r="72" spans="1:8" ht="18" customHeight="1">
      <c r="A72" s="121" t="s">
        <v>447</v>
      </c>
      <c r="B72" s="106" t="s">
        <v>417</v>
      </c>
      <c r="C72" s="317">
        <v>0</v>
      </c>
      <c r="D72" s="318">
        <v>0</v>
      </c>
      <c r="E72" s="279">
        <f>42+176+122</f>
        <v>340</v>
      </c>
      <c r="F72" s="263">
        <f t="shared" si="6"/>
        <v>340</v>
      </c>
      <c r="G72" s="141" t="e">
        <f t="shared" si="7"/>
        <v>#DIV/0!</v>
      </c>
      <c r="H72" s="156"/>
    </row>
    <row r="73" spans="1:8" ht="32.25" hidden="1" customHeight="1">
      <c r="A73" s="107" t="s">
        <v>482</v>
      </c>
      <c r="B73" s="212" t="s">
        <v>454</v>
      </c>
      <c r="C73" s="317"/>
      <c r="D73" s="333">
        <v>0</v>
      </c>
      <c r="E73" s="269"/>
      <c r="F73" s="263">
        <f t="shared" si="6"/>
        <v>0</v>
      </c>
      <c r="G73" s="141" t="e">
        <f t="shared" si="7"/>
        <v>#DIV/0!</v>
      </c>
      <c r="H73" s="156"/>
    </row>
    <row r="74" spans="1:8" ht="36.75" hidden="1" customHeight="1">
      <c r="A74" s="107" t="s">
        <v>440</v>
      </c>
      <c r="B74" s="212" t="s">
        <v>455</v>
      </c>
      <c r="C74" s="313"/>
      <c r="D74" s="333">
        <v>0</v>
      </c>
      <c r="E74" s="270"/>
      <c r="F74" s="263">
        <f t="shared" si="6"/>
        <v>0</v>
      </c>
      <c r="G74" s="141" t="e">
        <f t="shared" si="7"/>
        <v>#DIV/0!</v>
      </c>
      <c r="H74" s="156"/>
    </row>
    <row r="75" spans="1:8" ht="31.5" hidden="1" customHeight="1">
      <c r="A75" s="107" t="s">
        <v>441</v>
      </c>
      <c r="B75" s="212" t="s">
        <v>456</v>
      </c>
      <c r="C75" s="313"/>
      <c r="D75" s="333">
        <v>0</v>
      </c>
      <c r="E75" s="270"/>
      <c r="F75" s="263">
        <f t="shared" si="6"/>
        <v>0</v>
      </c>
      <c r="G75" s="141" t="e">
        <f t="shared" si="7"/>
        <v>#DIV/0!</v>
      </c>
      <c r="H75" s="156"/>
    </row>
    <row r="76" spans="1:8" ht="33" hidden="1" customHeight="1">
      <c r="A76" s="107" t="s">
        <v>442</v>
      </c>
      <c r="B76" s="212" t="s">
        <v>457</v>
      </c>
      <c r="C76" s="313"/>
      <c r="D76" s="333">
        <v>0</v>
      </c>
      <c r="E76" s="270"/>
      <c r="F76" s="263">
        <f t="shared" si="6"/>
        <v>0</v>
      </c>
      <c r="G76" s="141" t="e">
        <f t="shared" si="7"/>
        <v>#DIV/0!</v>
      </c>
      <c r="H76" s="156"/>
    </row>
    <row r="77" spans="1:8" ht="30" hidden="1" customHeight="1">
      <c r="A77" s="107" t="s">
        <v>443</v>
      </c>
      <c r="B77" s="212" t="s">
        <v>499</v>
      </c>
      <c r="C77" s="313"/>
      <c r="D77" s="333">
        <v>0</v>
      </c>
      <c r="E77" s="270"/>
      <c r="F77" s="263">
        <f t="shared" si="6"/>
        <v>0</v>
      </c>
      <c r="G77" s="141" t="e">
        <f t="shared" si="7"/>
        <v>#DIV/0!</v>
      </c>
      <c r="H77" s="156"/>
    </row>
    <row r="78" spans="1:8" ht="31.5" customHeight="1">
      <c r="A78" s="105" t="s">
        <v>102</v>
      </c>
      <c r="B78" s="8">
        <v>3280</v>
      </c>
      <c r="C78" s="103">
        <f t="shared" ref="C78" si="8">C79+C81+C80</f>
        <v>410878</v>
      </c>
      <c r="D78" s="333">
        <v>1075630</v>
      </c>
      <c r="E78" s="334">
        <f>E79+E81+E80</f>
        <v>146611</v>
      </c>
      <c r="F78" s="263">
        <f t="shared" si="6"/>
        <v>-929019</v>
      </c>
      <c r="G78" s="141">
        <f t="shared" si="7"/>
        <v>13.630244600838578</v>
      </c>
      <c r="H78" s="156"/>
    </row>
    <row r="79" spans="1:8" ht="52.5" customHeight="1">
      <c r="A79" s="219" t="s">
        <v>428</v>
      </c>
      <c r="B79" s="220" t="s">
        <v>403</v>
      </c>
      <c r="C79" s="319">
        <f>38554+7711</f>
        <v>46265</v>
      </c>
      <c r="D79" s="333">
        <v>55656</v>
      </c>
      <c r="E79" s="238">
        <f>9259+1852</f>
        <v>11111</v>
      </c>
      <c r="F79" s="263">
        <f t="shared" si="6"/>
        <v>-44545</v>
      </c>
      <c r="G79" s="141">
        <f t="shared" si="7"/>
        <v>19.96370562023861</v>
      </c>
      <c r="H79" s="156"/>
    </row>
    <row r="80" spans="1:8" ht="45.75" customHeight="1">
      <c r="A80" s="219" t="s">
        <v>420</v>
      </c>
      <c r="B80" s="220" t="s">
        <v>404</v>
      </c>
      <c r="C80" s="333">
        <f>303844+60769</f>
        <v>364613</v>
      </c>
      <c r="D80" s="333">
        <v>1006474</v>
      </c>
      <c r="E80" s="238">
        <f>112916+22584</f>
        <v>135500</v>
      </c>
      <c r="F80" s="263">
        <f t="shared" si="6"/>
        <v>-870974</v>
      </c>
      <c r="G80" s="141">
        <f t="shared" si="7"/>
        <v>13.462841563716498</v>
      </c>
      <c r="H80" s="156"/>
    </row>
    <row r="81" spans="1:9" ht="32.25" customHeight="1">
      <c r="A81" s="219" t="s">
        <v>402</v>
      </c>
      <c r="B81" s="218" t="s">
        <v>421</v>
      </c>
      <c r="C81" s="333">
        <v>0</v>
      </c>
      <c r="D81" s="333">
        <v>13500</v>
      </c>
      <c r="E81" s="238">
        <v>0</v>
      </c>
      <c r="F81" s="263">
        <f t="shared" si="6"/>
        <v>-13500</v>
      </c>
      <c r="G81" s="141">
        <f t="shared" si="7"/>
        <v>0</v>
      </c>
      <c r="H81" s="156"/>
    </row>
    <row r="82" spans="1:9" ht="30.75" customHeight="1">
      <c r="A82" s="105" t="s">
        <v>103</v>
      </c>
      <c r="B82" s="8">
        <v>3290</v>
      </c>
      <c r="C82" s="82">
        <f>C83+C84</f>
        <v>0</v>
      </c>
      <c r="D82" s="333">
        <v>0</v>
      </c>
      <c r="E82" s="82"/>
      <c r="F82" s="263">
        <f t="shared" si="6"/>
        <v>0</v>
      </c>
      <c r="G82" s="141" t="e">
        <f t="shared" si="7"/>
        <v>#DIV/0!</v>
      </c>
      <c r="H82" s="112"/>
    </row>
    <row r="83" spans="1:9" ht="18.75" customHeight="1">
      <c r="A83" s="165" t="s">
        <v>418</v>
      </c>
      <c r="B83" s="6" t="s">
        <v>419</v>
      </c>
      <c r="C83" s="82"/>
      <c r="D83" s="333">
        <v>0</v>
      </c>
      <c r="E83" s="82"/>
      <c r="F83" s="263">
        <f t="shared" si="6"/>
        <v>0</v>
      </c>
      <c r="G83" s="141" t="e">
        <f t="shared" si="7"/>
        <v>#DIV/0!</v>
      </c>
      <c r="H83" s="112"/>
    </row>
    <row r="84" spans="1:9" ht="18.75" customHeight="1">
      <c r="A84" s="213" t="s">
        <v>489</v>
      </c>
      <c r="B84" s="6" t="s">
        <v>490</v>
      </c>
      <c r="C84" s="82"/>
      <c r="D84" s="333">
        <v>0</v>
      </c>
      <c r="E84" s="82"/>
      <c r="F84" s="263">
        <f t="shared" si="6"/>
        <v>0</v>
      </c>
      <c r="G84" s="141" t="e">
        <f t="shared" si="7"/>
        <v>#DIV/0!</v>
      </c>
      <c r="H84" s="112"/>
    </row>
    <row r="85" spans="1:9" ht="21" customHeight="1">
      <c r="A85" s="165" t="s">
        <v>52</v>
      </c>
      <c r="B85" s="6">
        <v>3300</v>
      </c>
      <c r="C85" s="223"/>
      <c r="D85" s="333">
        <v>0</v>
      </c>
      <c r="E85" s="223"/>
      <c r="F85" s="263">
        <f t="shared" si="6"/>
        <v>0</v>
      </c>
      <c r="G85" s="141" t="e">
        <f t="shared" si="7"/>
        <v>#DIV/0!</v>
      </c>
      <c r="H85" s="111"/>
    </row>
    <row r="86" spans="1:9">
      <c r="A86" s="105" t="s">
        <v>95</v>
      </c>
      <c r="B86" s="8">
        <v>3310</v>
      </c>
      <c r="C86" s="82">
        <f>C87+C88+C97+C111</f>
        <v>6407</v>
      </c>
      <c r="D86" s="103">
        <v>1665</v>
      </c>
      <c r="E86" s="82">
        <f>E87+E88+E97+E109</f>
        <v>1137</v>
      </c>
      <c r="F86" s="263">
        <f t="shared" si="6"/>
        <v>-528</v>
      </c>
      <c r="G86" s="141">
        <f t="shared" si="7"/>
        <v>68.288288288288285</v>
      </c>
      <c r="H86" s="111"/>
    </row>
    <row r="87" spans="1:9" ht="23.25" customHeight="1">
      <c r="A87" s="165" t="s">
        <v>606</v>
      </c>
      <c r="B87" s="152" t="s">
        <v>344</v>
      </c>
      <c r="C87" s="223"/>
      <c r="D87" s="333">
        <v>0</v>
      </c>
      <c r="E87" s="223"/>
      <c r="F87" s="263">
        <f t="shared" si="6"/>
        <v>0</v>
      </c>
      <c r="G87" s="141" t="e">
        <f t="shared" si="7"/>
        <v>#DIV/0!</v>
      </c>
      <c r="H87" s="111"/>
      <c r="I87" s="13"/>
    </row>
    <row r="88" spans="1:9" ht="33" customHeight="1">
      <c r="A88" s="165" t="s">
        <v>30</v>
      </c>
      <c r="B88" s="152" t="s">
        <v>345</v>
      </c>
      <c r="C88" s="333">
        <f>SUM(C89:C96)</f>
        <v>866</v>
      </c>
      <c r="D88" s="333">
        <v>1665</v>
      </c>
      <c r="E88" s="312">
        <f>SUM(E89:E96)</f>
        <v>1093</v>
      </c>
      <c r="F88" s="263">
        <f t="shared" si="6"/>
        <v>-572</v>
      </c>
      <c r="G88" s="141">
        <f t="shared" si="7"/>
        <v>65.645645645645644</v>
      </c>
      <c r="H88" s="113"/>
    </row>
    <row r="89" spans="1:9" ht="21" customHeight="1">
      <c r="A89" s="248" t="s">
        <v>526</v>
      </c>
      <c r="B89" s="102" t="s">
        <v>392</v>
      </c>
      <c r="C89" s="223">
        <f>41+1</f>
        <v>42</v>
      </c>
      <c r="D89" s="333">
        <v>51</v>
      </c>
      <c r="E89" s="223"/>
      <c r="F89" s="263">
        <f t="shared" si="6"/>
        <v>-51</v>
      </c>
      <c r="G89" s="141">
        <f t="shared" si="7"/>
        <v>0</v>
      </c>
      <c r="H89" s="110"/>
    </row>
    <row r="90" spans="1:9" ht="22.5" customHeight="1">
      <c r="A90" s="248" t="s">
        <v>527</v>
      </c>
      <c r="B90" s="102" t="s">
        <v>393</v>
      </c>
      <c r="C90" s="223"/>
      <c r="D90" s="333">
        <v>96</v>
      </c>
      <c r="E90" s="223">
        <f>650+8</f>
        <v>658</v>
      </c>
      <c r="F90" s="263">
        <f t="shared" si="6"/>
        <v>562</v>
      </c>
      <c r="G90" s="141">
        <f t="shared" si="7"/>
        <v>685.41666666666674</v>
      </c>
      <c r="H90" s="113"/>
    </row>
    <row r="91" spans="1:9" ht="23.25" customHeight="1">
      <c r="A91" s="248" t="s">
        <v>528</v>
      </c>
      <c r="B91" s="102" t="s">
        <v>394</v>
      </c>
      <c r="C91" s="223">
        <f>154+2</f>
        <v>156</v>
      </c>
      <c r="D91" s="223">
        <v>720</v>
      </c>
      <c r="E91" s="223"/>
      <c r="F91" s="263">
        <f t="shared" si="6"/>
        <v>-720</v>
      </c>
      <c r="G91" s="141">
        <f t="shared" si="7"/>
        <v>0</v>
      </c>
      <c r="H91" s="110"/>
    </row>
    <row r="92" spans="1:9" ht="23.25" customHeight="1">
      <c r="A92" s="248" t="s">
        <v>572</v>
      </c>
      <c r="B92" s="102" t="s">
        <v>408</v>
      </c>
      <c r="C92" s="348">
        <f>25+24</f>
        <v>49</v>
      </c>
      <c r="D92" s="223">
        <v>0</v>
      </c>
      <c r="E92" s="223">
        <f>71+1+29</f>
        <v>101</v>
      </c>
      <c r="F92" s="263">
        <f t="shared" si="6"/>
        <v>101</v>
      </c>
      <c r="G92" s="141" t="e">
        <f t="shared" si="7"/>
        <v>#DIV/0!</v>
      </c>
      <c r="H92" s="110"/>
    </row>
    <row r="93" spans="1:9" ht="23.25" customHeight="1">
      <c r="A93" s="248" t="s">
        <v>616</v>
      </c>
      <c r="B93" s="102" t="s">
        <v>502</v>
      </c>
      <c r="C93" s="348">
        <v>20</v>
      </c>
      <c r="D93" s="223">
        <v>0</v>
      </c>
      <c r="E93" s="223"/>
      <c r="F93" s="263">
        <f t="shared" si="6"/>
        <v>0</v>
      </c>
      <c r="G93" s="141" t="e">
        <f t="shared" si="7"/>
        <v>#DIV/0!</v>
      </c>
      <c r="H93" s="110"/>
    </row>
    <row r="94" spans="1:9" ht="23.25" customHeight="1">
      <c r="A94" s="248" t="s">
        <v>573</v>
      </c>
      <c r="B94" s="102" t="s">
        <v>503</v>
      </c>
      <c r="C94" s="348">
        <f>97</f>
        <v>97</v>
      </c>
      <c r="D94" s="223">
        <v>0</v>
      </c>
      <c r="E94" s="223"/>
      <c r="F94" s="263">
        <f t="shared" si="6"/>
        <v>0</v>
      </c>
      <c r="G94" s="141" t="e">
        <f t="shared" si="7"/>
        <v>#DIV/0!</v>
      </c>
      <c r="H94" s="110"/>
      <c r="I94" s="276"/>
    </row>
    <row r="95" spans="1:9" ht="40.5" customHeight="1">
      <c r="A95" s="248" t="s">
        <v>579</v>
      </c>
      <c r="B95" s="102" t="s">
        <v>571</v>
      </c>
      <c r="C95" s="348">
        <v>133</v>
      </c>
      <c r="D95" s="223">
        <v>0</v>
      </c>
      <c r="E95" s="223"/>
      <c r="F95" s="263">
        <f t="shared" si="6"/>
        <v>0</v>
      </c>
      <c r="G95" s="141" t="e">
        <f t="shared" si="7"/>
        <v>#DIV/0!</v>
      </c>
      <c r="H95" s="110"/>
    </row>
    <row r="96" spans="1:9" ht="21" customHeight="1">
      <c r="A96" s="5" t="s">
        <v>615</v>
      </c>
      <c r="B96" s="102" t="s">
        <v>574</v>
      </c>
      <c r="C96" s="318">
        <f>175+192+2</f>
        <v>369</v>
      </c>
      <c r="D96" s="223">
        <v>798</v>
      </c>
      <c r="E96" s="309">
        <f>245+23+66</f>
        <v>334</v>
      </c>
      <c r="F96" s="263">
        <f t="shared" si="6"/>
        <v>-464</v>
      </c>
      <c r="G96" s="141">
        <f t="shared" si="7"/>
        <v>41.854636591478695</v>
      </c>
      <c r="H96" s="113"/>
    </row>
    <row r="97" spans="1:8" ht="54.75" customHeight="1">
      <c r="A97" s="5" t="s">
        <v>448</v>
      </c>
      <c r="B97" s="152" t="s">
        <v>348</v>
      </c>
      <c r="C97" s="223">
        <f>SUM(C98:C109)</f>
        <v>5541</v>
      </c>
      <c r="D97" s="223">
        <v>0</v>
      </c>
      <c r="E97" s="223">
        <f>SUM(E98:E109)</f>
        <v>44</v>
      </c>
      <c r="F97" s="263">
        <f t="shared" si="6"/>
        <v>44</v>
      </c>
      <c r="G97" s="141" t="e">
        <f t="shared" si="7"/>
        <v>#DIV/0!</v>
      </c>
      <c r="H97" s="110"/>
    </row>
    <row r="98" spans="1:8" ht="74.25" customHeight="1">
      <c r="A98" s="259" t="s">
        <v>565</v>
      </c>
      <c r="B98" s="212" t="s">
        <v>382</v>
      </c>
      <c r="C98" s="317"/>
      <c r="D98" s="223">
        <v>0</v>
      </c>
      <c r="E98" s="223"/>
      <c r="F98" s="263">
        <f t="shared" si="6"/>
        <v>0</v>
      </c>
      <c r="G98" s="141" t="e">
        <f t="shared" si="7"/>
        <v>#DIV/0!</v>
      </c>
      <c r="H98" s="110"/>
    </row>
    <row r="99" spans="1:8" ht="63.75" customHeight="1">
      <c r="A99" s="249" t="s">
        <v>529</v>
      </c>
      <c r="B99" s="166" t="s">
        <v>396</v>
      </c>
      <c r="C99" s="313">
        <v>0</v>
      </c>
      <c r="D99" s="223">
        <v>0</v>
      </c>
      <c r="E99" s="223"/>
      <c r="F99" s="263">
        <f t="shared" ref="F99:F110" si="9">E99-D99</f>
        <v>0</v>
      </c>
      <c r="G99" s="141" t="e">
        <f t="shared" ref="G99:G110" si="10">E99/D99*100</f>
        <v>#DIV/0!</v>
      </c>
      <c r="H99" s="110"/>
    </row>
    <row r="100" spans="1:8" ht="52.5" customHeight="1">
      <c r="A100" s="96" t="s">
        <v>530</v>
      </c>
      <c r="B100" s="166" t="s">
        <v>397</v>
      </c>
      <c r="C100" s="313"/>
      <c r="D100" s="223">
        <v>0</v>
      </c>
      <c r="E100" s="223">
        <f>43+1</f>
        <v>44</v>
      </c>
      <c r="F100" s="263">
        <f t="shared" si="9"/>
        <v>44</v>
      </c>
      <c r="G100" s="141" t="e">
        <f t="shared" si="10"/>
        <v>#DIV/0!</v>
      </c>
      <c r="H100" s="110"/>
    </row>
    <row r="101" spans="1:8" ht="55.5" customHeight="1">
      <c r="A101" s="248" t="s">
        <v>535</v>
      </c>
      <c r="B101" s="166" t="s">
        <v>398</v>
      </c>
      <c r="C101" s="223">
        <f>1879+23+1757+21</f>
        <v>3680</v>
      </c>
      <c r="D101" s="223">
        <v>0</v>
      </c>
      <c r="E101" s="223"/>
      <c r="F101" s="263">
        <f t="shared" si="9"/>
        <v>0</v>
      </c>
      <c r="G101" s="141" t="e">
        <f t="shared" si="10"/>
        <v>#DIV/0!</v>
      </c>
      <c r="H101" s="110"/>
    </row>
    <row r="102" spans="1:8" ht="48" customHeight="1">
      <c r="A102" s="248" t="s">
        <v>531</v>
      </c>
      <c r="B102" s="166" t="s">
        <v>399</v>
      </c>
      <c r="C102" s="313"/>
      <c r="D102" s="333">
        <v>0</v>
      </c>
      <c r="E102" s="223"/>
      <c r="F102" s="263">
        <f t="shared" si="9"/>
        <v>0</v>
      </c>
      <c r="G102" s="141" t="e">
        <f t="shared" si="10"/>
        <v>#DIV/0!</v>
      </c>
      <c r="H102" s="110"/>
    </row>
    <row r="103" spans="1:8" ht="153" customHeight="1">
      <c r="A103" s="250" t="s">
        <v>580</v>
      </c>
      <c r="B103" s="166" t="s">
        <v>405</v>
      </c>
      <c r="C103" s="313">
        <v>1071</v>
      </c>
      <c r="D103" s="223">
        <v>0</v>
      </c>
      <c r="E103" s="223"/>
      <c r="F103" s="263">
        <f t="shared" si="9"/>
        <v>0</v>
      </c>
      <c r="G103" s="141" t="e">
        <f t="shared" si="10"/>
        <v>#DIV/0!</v>
      </c>
      <c r="H103" s="110"/>
    </row>
    <row r="104" spans="1:8" ht="51.75" customHeight="1">
      <c r="A104" s="248" t="s">
        <v>532</v>
      </c>
      <c r="B104" s="166" t="s">
        <v>406</v>
      </c>
      <c r="C104" s="223">
        <f>29</f>
        <v>29</v>
      </c>
      <c r="D104" s="223">
        <v>0</v>
      </c>
      <c r="E104" s="223"/>
      <c r="F104" s="263">
        <f t="shared" si="9"/>
        <v>0</v>
      </c>
      <c r="G104" s="141" t="e">
        <f t="shared" si="10"/>
        <v>#DIV/0!</v>
      </c>
      <c r="H104" s="110"/>
    </row>
    <row r="105" spans="1:8" ht="34.5" customHeight="1">
      <c r="A105" s="248" t="s">
        <v>533</v>
      </c>
      <c r="B105" s="166" t="s">
        <v>407</v>
      </c>
      <c r="C105" s="313"/>
      <c r="D105" s="223">
        <v>0</v>
      </c>
      <c r="E105" s="223"/>
      <c r="F105" s="263">
        <f t="shared" si="9"/>
        <v>0</v>
      </c>
      <c r="G105" s="141" t="e">
        <f t="shared" si="10"/>
        <v>#DIV/0!</v>
      </c>
      <c r="H105" s="110"/>
    </row>
    <row r="106" spans="1:8" ht="31.5" customHeight="1">
      <c r="A106" s="249" t="s">
        <v>534</v>
      </c>
      <c r="B106" s="166" t="s">
        <v>413</v>
      </c>
      <c r="C106" s="313"/>
      <c r="D106" s="223">
        <v>0</v>
      </c>
      <c r="E106" s="223"/>
      <c r="F106" s="263">
        <f t="shared" si="9"/>
        <v>0</v>
      </c>
      <c r="G106" s="141" t="e">
        <f t="shared" si="10"/>
        <v>#DIV/0!</v>
      </c>
      <c r="H106" s="110"/>
    </row>
    <row r="107" spans="1:8" ht="31.5" customHeight="1">
      <c r="A107" s="260" t="s">
        <v>570</v>
      </c>
      <c r="B107" s="166" t="s">
        <v>414</v>
      </c>
      <c r="C107" s="223">
        <f>335+4</f>
        <v>339</v>
      </c>
      <c r="D107" s="223">
        <v>0</v>
      </c>
      <c r="E107" s="223"/>
      <c r="F107" s="263">
        <f t="shared" si="9"/>
        <v>0</v>
      </c>
      <c r="G107" s="141" t="e">
        <f t="shared" si="10"/>
        <v>#DIV/0!</v>
      </c>
      <c r="H107" s="110"/>
    </row>
    <row r="108" spans="1:8" ht="54" customHeight="1">
      <c r="A108" s="96" t="s">
        <v>618</v>
      </c>
      <c r="B108" s="166" t="s">
        <v>569</v>
      </c>
      <c r="C108" s="223">
        <f>417+5</f>
        <v>422</v>
      </c>
      <c r="D108" s="223">
        <v>0</v>
      </c>
      <c r="E108" s="223"/>
      <c r="F108" s="263">
        <f t="shared" si="9"/>
        <v>0</v>
      </c>
      <c r="G108" s="141" t="e">
        <f t="shared" si="10"/>
        <v>#DIV/0!</v>
      </c>
      <c r="H108" s="110"/>
    </row>
    <row r="109" spans="1:8" ht="21" customHeight="1">
      <c r="A109" s="96" t="s">
        <v>395</v>
      </c>
      <c r="B109" s="164" t="s">
        <v>449</v>
      </c>
      <c r="C109" s="313"/>
      <c r="D109" s="333"/>
      <c r="E109" s="283"/>
      <c r="F109" s="263">
        <f t="shared" si="9"/>
        <v>0</v>
      </c>
      <c r="G109" s="141" t="e">
        <f t="shared" si="10"/>
        <v>#DIV/0!</v>
      </c>
      <c r="H109" s="110"/>
    </row>
    <row r="110" spans="1:8" ht="40.5" customHeight="1">
      <c r="A110" s="27" t="s">
        <v>132</v>
      </c>
      <c r="B110" s="8">
        <v>3320</v>
      </c>
      <c r="C110" s="149">
        <f>(C35+C36+C37+C39+C40+C41+C42)-(C51+C78+C82+C85+C86)</f>
        <v>-82015</v>
      </c>
      <c r="D110" s="149">
        <f>(D35+D36+D37+D39+D40+D41+D42)-(D51+D78+D82+D85+D86)</f>
        <v>-1665</v>
      </c>
      <c r="E110" s="149">
        <f>(E35+E36+E37+E39+E40+E41+E42)-(E51+E78+E82+E85+E86)</f>
        <v>-32434</v>
      </c>
      <c r="F110" s="263">
        <f t="shared" si="9"/>
        <v>-30769</v>
      </c>
      <c r="G110" s="141">
        <f t="shared" si="10"/>
        <v>1947.9879879879882</v>
      </c>
      <c r="H110" s="110"/>
    </row>
    <row r="111" spans="1:8" ht="18.75" customHeight="1">
      <c r="A111" s="380" t="s">
        <v>133</v>
      </c>
      <c r="B111" s="381"/>
      <c r="C111" s="381"/>
      <c r="D111" s="381"/>
      <c r="E111" s="381"/>
      <c r="F111" s="381"/>
      <c r="G111" s="382"/>
      <c r="H111" s="110"/>
    </row>
    <row r="112" spans="1:8" ht="24" customHeight="1">
      <c r="A112" s="27" t="s">
        <v>216</v>
      </c>
      <c r="B112" s="6"/>
      <c r="C112" s="312"/>
      <c r="D112" s="333"/>
      <c r="E112" s="283"/>
      <c r="F112" s="263">
        <f t="shared" ref="F112:F145" si="11">E112-D112</f>
        <v>0</v>
      </c>
      <c r="G112" s="141" t="e">
        <f t="shared" ref="G112:G145" si="12">E112/D112*100</f>
        <v>#DIV/0!</v>
      </c>
      <c r="H112" s="112"/>
    </row>
    <row r="113" spans="1:8" ht="21.75" customHeight="1">
      <c r="A113" s="21" t="s">
        <v>139</v>
      </c>
      <c r="B113" s="167">
        <v>3400</v>
      </c>
      <c r="C113" s="312"/>
      <c r="D113" s="333">
        <v>0</v>
      </c>
      <c r="E113" s="283">
        <v>0</v>
      </c>
      <c r="F113" s="263">
        <f t="shared" si="11"/>
        <v>0</v>
      </c>
      <c r="G113" s="141" t="e">
        <f t="shared" si="12"/>
        <v>#DIV/0!</v>
      </c>
      <c r="H113" s="111">
        <v>0</v>
      </c>
    </row>
    <row r="114" spans="1:8" ht="30" customHeight="1">
      <c r="A114" s="165" t="s">
        <v>75</v>
      </c>
      <c r="B114" s="6"/>
      <c r="C114" s="312"/>
      <c r="D114" s="333"/>
      <c r="E114" s="283"/>
      <c r="F114" s="263">
        <f t="shared" si="11"/>
        <v>0</v>
      </c>
      <c r="G114" s="141" t="e">
        <f t="shared" si="12"/>
        <v>#DIV/0!</v>
      </c>
      <c r="H114" s="177"/>
    </row>
    <row r="115" spans="1:8">
      <c r="A115" s="5" t="s">
        <v>74</v>
      </c>
      <c r="B115" s="152">
        <v>3410</v>
      </c>
      <c r="C115" s="312"/>
      <c r="D115" s="333">
        <v>0</v>
      </c>
      <c r="E115" s="283"/>
      <c r="F115" s="263">
        <f t="shared" si="11"/>
        <v>0</v>
      </c>
      <c r="G115" s="141" t="e">
        <f t="shared" si="12"/>
        <v>#DIV/0!</v>
      </c>
      <c r="H115" s="19"/>
    </row>
    <row r="116" spans="1:8" ht="20.100000000000001" customHeight="1">
      <c r="A116" s="5" t="s">
        <v>79</v>
      </c>
      <c r="B116" s="6">
        <v>3420</v>
      </c>
      <c r="C116" s="312"/>
      <c r="D116" s="333">
        <v>0</v>
      </c>
      <c r="E116" s="283"/>
      <c r="F116" s="263">
        <f t="shared" si="11"/>
        <v>0</v>
      </c>
      <c r="G116" s="141" t="e">
        <f t="shared" si="12"/>
        <v>#DIV/0!</v>
      </c>
      <c r="H116" s="111"/>
    </row>
    <row r="117" spans="1:8" ht="20.100000000000001" customHeight="1">
      <c r="A117" s="5" t="s">
        <v>104</v>
      </c>
      <c r="B117" s="6">
        <v>3430</v>
      </c>
      <c r="C117" s="312"/>
      <c r="D117" s="333">
        <v>0</v>
      </c>
      <c r="E117" s="283"/>
      <c r="F117" s="263">
        <f t="shared" si="11"/>
        <v>0</v>
      </c>
      <c r="G117" s="141" t="e">
        <f t="shared" si="12"/>
        <v>#DIV/0!</v>
      </c>
      <c r="H117" s="111"/>
    </row>
    <row r="118" spans="1:8" ht="34.5" customHeight="1">
      <c r="A118" s="165" t="s">
        <v>77</v>
      </c>
      <c r="B118" s="152"/>
      <c r="C118" s="312"/>
      <c r="D118" s="333"/>
      <c r="E118" s="283"/>
      <c r="F118" s="263">
        <f t="shared" si="11"/>
        <v>0</v>
      </c>
      <c r="G118" s="141" t="e">
        <f t="shared" si="12"/>
        <v>#DIV/0!</v>
      </c>
      <c r="H118" s="111"/>
    </row>
    <row r="119" spans="1:8">
      <c r="A119" s="5" t="s">
        <v>74</v>
      </c>
      <c r="B119" s="152">
        <v>3440</v>
      </c>
      <c r="C119" s="312"/>
      <c r="D119" s="333">
        <v>0</v>
      </c>
      <c r="E119" s="283"/>
      <c r="F119" s="263">
        <f t="shared" si="11"/>
        <v>0</v>
      </c>
      <c r="G119" s="141" t="e">
        <f t="shared" si="12"/>
        <v>#DIV/0!</v>
      </c>
      <c r="H119" s="111"/>
    </row>
    <row r="120" spans="1:8" ht="20.100000000000001" customHeight="1">
      <c r="A120" s="5" t="s">
        <v>79</v>
      </c>
      <c r="B120" s="152">
        <v>3450</v>
      </c>
      <c r="C120" s="312"/>
      <c r="D120" s="333">
        <v>0</v>
      </c>
      <c r="E120" s="283"/>
      <c r="F120" s="263">
        <f t="shared" si="11"/>
        <v>0</v>
      </c>
      <c r="G120" s="141" t="e">
        <f t="shared" si="12"/>
        <v>#DIV/0!</v>
      </c>
      <c r="H120" s="111"/>
    </row>
    <row r="121" spans="1:8" ht="20.100000000000001" customHeight="1">
      <c r="A121" s="5" t="s">
        <v>104</v>
      </c>
      <c r="B121" s="152">
        <v>3460</v>
      </c>
      <c r="C121" s="312"/>
      <c r="D121" s="333">
        <v>0</v>
      </c>
      <c r="E121" s="283"/>
      <c r="F121" s="263">
        <f t="shared" si="11"/>
        <v>0</v>
      </c>
      <c r="G121" s="141" t="e">
        <f t="shared" si="12"/>
        <v>#DIV/0!</v>
      </c>
      <c r="H121" s="111"/>
    </row>
    <row r="122" spans="1:8" ht="26.25" customHeight="1">
      <c r="A122" s="5" t="s">
        <v>99</v>
      </c>
      <c r="B122" s="152">
        <v>3470</v>
      </c>
      <c r="C122" s="312"/>
      <c r="D122" s="333">
        <f>D123+D124+D125+D126</f>
        <v>0</v>
      </c>
      <c r="E122" s="283"/>
      <c r="F122" s="263">
        <f t="shared" si="11"/>
        <v>0</v>
      </c>
      <c r="G122" s="141" t="e">
        <f t="shared" si="12"/>
        <v>#DIV/0!</v>
      </c>
      <c r="H122" s="111"/>
    </row>
    <row r="123" spans="1:8" ht="57.75" customHeight="1">
      <c r="A123" s="226" t="s">
        <v>493</v>
      </c>
      <c r="B123" s="152" t="s">
        <v>373</v>
      </c>
      <c r="C123" s="312"/>
      <c r="D123" s="320">
        <v>0</v>
      </c>
      <c r="E123" s="283"/>
      <c r="F123" s="263">
        <f t="shared" si="11"/>
        <v>0</v>
      </c>
      <c r="G123" s="141" t="e">
        <f t="shared" si="12"/>
        <v>#DIV/0!</v>
      </c>
      <c r="H123" s="111"/>
    </row>
    <row r="124" spans="1:8" ht="60" customHeight="1">
      <c r="A124" s="227" t="s">
        <v>494</v>
      </c>
      <c r="B124" s="152" t="s">
        <v>400</v>
      </c>
      <c r="C124" s="312"/>
      <c r="D124" s="320">
        <v>0</v>
      </c>
      <c r="E124" s="283"/>
      <c r="F124" s="263">
        <f t="shared" si="11"/>
        <v>0</v>
      </c>
      <c r="G124" s="141" t="e">
        <f t="shared" si="12"/>
        <v>#DIV/0!</v>
      </c>
      <c r="H124" s="111"/>
    </row>
    <row r="125" spans="1:8" ht="70.5" customHeight="1">
      <c r="A125" s="228" t="s">
        <v>401</v>
      </c>
      <c r="B125" s="152" t="s">
        <v>452</v>
      </c>
      <c r="C125" s="312"/>
      <c r="D125" s="320">
        <v>0</v>
      </c>
      <c r="E125" s="283"/>
      <c r="F125" s="263">
        <f t="shared" si="11"/>
        <v>0</v>
      </c>
      <c r="G125" s="141" t="e">
        <f t="shared" si="12"/>
        <v>#DIV/0!</v>
      </c>
      <c r="H125" s="111"/>
    </row>
    <row r="126" spans="1:8" ht="43.5" customHeight="1">
      <c r="A126" s="5" t="s">
        <v>495</v>
      </c>
      <c r="B126" s="152" t="s">
        <v>453</v>
      </c>
      <c r="C126" s="312"/>
      <c r="D126" s="333">
        <v>0</v>
      </c>
      <c r="E126" s="283"/>
      <c r="F126" s="263">
        <f t="shared" si="11"/>
        <v>0</v>
      </c>
      <c r="G126" s="141" t="e">
        <f t="shared" si="12"/>
        <v>#DIV/0!</v>
      </c>
      <c r="H126" s="111"/>
    </row>
    <row r="127" spans="1:8" ht="24.75" customHeight="1">
      <c r="A127" s="5" t="s">
        <v>100</v>
      </c>
      <c r="B127" s="6">
        <v>3480</v>
      </c>
      <c r="C127" s="312"/>
      <c r="D127" s="333">
        <v>0</v>
      </c>
      <c r="E127" s="283"/>
      <c r="F127" s="263">
        <f t="shared" si="11"/>
        <v>0</v>
      </c>
      <c r="G127" s="141" t="e">
        <f t="shared" si="12"/>
        <v>#DIV/0!</v>
      </c>
      <c r="H127" s="111"/>
    </row>
    <row r="128" spans="1:8" ht="23.25" customHeight="1">
      <c r="A128" s="27" t="s">
        <v>217</v>
      </c>
      <c r="B128" s="6"/>
      <c r="C128" s="313"/>
      <c r="D128" s="332"/>
      <c r="E128" s="282"/>
      <c r="F128" s="263">
        <f t="shared" si="11"/>
        <v>0</v>
      </c>
      <c r="G128" s="141" t="e">
        <f t="shared" si="12"/>
        <v>#DIV/0!</v>
      </c>
      <c r="H128" s="111"/>
    </row>
    <row r="129" spans="1:8" ht="28.5" customHeight="1">
      <c r="A129" s="101" t="s">
        <v>251</v>
      </c>
      <c r="B129" s="6">
        <v>3490</v>
      </c>
      <c r="C129" s="307"/>
      <c r="D129" s="323">
        <v>0</v>
      </c>
      <c r="E129" s="278"/>
      <c r="F129" s="263">
        <f t="shared" si="11"/>
        <v>0</v>
      </c>
      <c r="G129" s="141" t="e">
        <f t="shared" si="12"/>
        <v>#DIV/0!</v>
      </c>
      <c r="H129" s="111"/>
    </row>
    <row r="130" spans="1:8" ht="72" customHeight="1">
      <c r="A130" s="101" t="s">
        <v>252</v>
      </c>
      <c r="B130" s="6">
        <v>3500</v>
      </c>
      <c r="C130" s="307"/>
      <c r="D130" s="323">
        <v>0</v>
      </c>
      <c r="E130" s="278"/>
      <c r="F130" s="263">
        <f t="shared" si="11"/>
        <v>0</v>
      </c>
      <c r="G130" s="141" t="e">
        <f t="shared" si="12"/>
        <v>#DIV/0!</v>
      </c>
      <c r="H130" s="111"/>
    </row>
    <row r="131" spans="1:8" ht="50.25" customHeight="1">
      <c r="A131" s="5" t="s">
        <v>78</v>
      </c>
      <c r="B131" s="152"/>
      <c r="C131" s="312"/>
      <c r="D131" s="333"/>
      <c r="E131" s="283"/>
      <c r="F131" s="263">
        <f t="shared" si="11"/>
        <v>0</v>
      </c>
      <c r="G131" s="141" t="e">
        <f t="shared" si="12"/>
        <v>#DIV/0!</v>
      </c>
      <c r="H131" s="111"/>
    </row>
    <row r="132" spans="1:8" ht="29.25" customHeight="1">
      <c r="A132" s="5" t="s">
        <v>74</v>
      </c>
      <c r="B132" s="152">
        <v>3510</v>
      </c>
      <c r="C132" s="312"/>
      <c r="D132" s="333">
        <v>0</v>
      </c>
      <c r="E132" s="283"/>
      <c r="F132" s="263">
        <f t="shared" si="11"/>
        <v>0</v>
      </c>
      <c r="G132" s="141" t="e">
        <f t="shared" si="12"/>
        <v>#DIV/0!</v>
      </c>
      <c r="H132" s="111"/>
    </row>
    <row r="133" spans="1:8" ht="23.25" customHeight="1">
      <c r="A133" s="5" t="s">
        <v>79</v>
      </c>
      <c r="B133" s="152">
        <v>3520</v>
      </c>
      <c r="C133" s="312"/>
      <c r="D133" s="333">
        <v>0</v>
      </c>
      <c r="E133" s="283"/>
      <c r="F133" s="263">
        <f t="shared" si="11"/>
        <v>0</v>
      </c>
      <c r="G133" s="141" t="e">
        <f t="shared" si="12"/>
        <v>#DIV/0!</v>
      </c>
      <c r="H133" s="111"/>
    </row>
    <row r="134" spans="1:8" ht="30" customHeight="1">
      <c r="A134" s="5" t="s">
        <v>104</v>
      </c>
      <c r="B134" s="6">
        <v>3530</v>
      </c>
      <c r="C134" s="312"/>
      <c r="D134" s="333">
        <v>0</v>
      </c>
      <c r="E134" s="283"/>
      <c r="F134" s="263">
        <f t="shared" si="11"/>
        <v>0</v>
      </c>
      <c r="G134" s="141" t="e">
        <f t="shared" si="12"/>
        <v>#DIV/0!</v>
      </c>
      <c r="H134" s="111"/>
    </row>
    <row r="135" spans="1:8" ht="45" customHeight="1">
      <c r="A135" s="5" t="s">
        <v>76</v>
      </c>
      <c r="B135" s="152"/>
      <c r="C135" s="312"/>
      <c r="D135" s="333"/>
      <c r="E135" s="283"/>
      <c r="F135" s="263">
        <f t="shared" si="11"/>
        <v>0</v>
      </c>
      <c r="G135" s="141" t="e">
        <f t="shared" si="12"/>
        <v>#DIV/0!</v>
      </c>
      <c r="H135" s="111"/>
    </row>
    <row r="136" spans="1:8" ht="22.5" customHeight="1">
      <c r="A136" s="5" t="s">
        <v>74</v>
      </c>
      <c r="B136" s="152">
        <v>3540</v>
      </c>
      <c r="C136" s="312"/>
      <c r="D136" s="333">
        <v>0</v>
      </c>
      <c r="E136" s="283"/>
      <c r="F136" s="263">
        <f t="shared" si="11"/>
        <v>0</v>
      </c>
      <c r="G136" s="141" t="e">
        <f t="shared" si="12"/>
        <v>#DIV/0!</v>
      </c>
      <c r="H136" s="111"/>
    </row>
    <row r="137" spans="1:8" ht="20.25" customHeight="1">
      <c r="A137" s="5" t="s">
        <v>79</v>
      </c>
      <c r="B137" s="152">
        <v>3550</v>
      </c>
      <c r="C137" s="312"/>
      <c r="D137" s="333">
        <v>0</v>
      </c>
      <c r="E137" s="283"/>
      <c r="F137" s="263">
        <f t="shared" si="11"/>
        <v>0</v>
      </c>
      <c r="G137" s="141" t="e">
        <f t="shared" si="12"/>
        <v>#DIV/0!</v>
      </c>
      <c r="H137" s="111"/>
    </row>
    <row r="138" spans="1:8" ht="20.100000000000001" customHeight="1">
      <c r="A138" s="5" t="s">
        <v>104</v>
      </c>
      <c r="B138" s="152">
        <v>3560</v>
      </c>
      <c r="C138" s="312"/>
      <c r="D138" s="333">
        <v>0</v>
      </c>
      <c r="E138" s="283"/>
      <c r="F138" s="263">
        <f t="shared" si="11"/>
        <v>0</v>
      </c>
      <c r="G138" s="141" t="e">
        <f t="shared" si="12"/>
        <v>#DIV/0!</v>
      </c>
      <c r="H138" s="111"/>
    </row>
    <row r="139" spans="1:8" ht="21.75" customHeight="1">
      <c r="A139" s="5" t="s">
        <v>95</v>
      </c>
      <c r="B139" s="152">
        <v>3570</v>
      </c>
      <c r="C139" s="313">
        <v>32</v>
      </c>
      <c r="D139" s="332">
        <v>0</v>
      </c>
      <c r="E139" s="313">
        <f>5-5</f>
        <v>0</v>
      </c>
      <c r="F139" s="263">
        <f t="shared" si="11"/>
        <v>0</v>
      </c>
      <c r="G139" s="141" t="e">
        <f t="shared" si="12"/>
        <v>#DIV/0!</v>
      </c>
      <c r="H139" s="161">
        <v>0</v>
      </c>
    </row>
    <row r="140" spans="1:8" ht="38.25" customHeight="1">
      <c r="A140" s="27" t="s">
        <v>134</v>
      </c>
      <c r="B140" s="40">
        <v>3580</v>
      </c>
      <c r="C140" s="149">
        <f>(C113+C114+C118+C122)-(C129+C130+C131+C135+C139)</f>
        <v>-32</v>
      </c>
      <c r="D140" s="149">
        <f>(D113+D114+D118+D122)-(D129+D130+D131+D135+D139)</f>
        <v>0</v>
      </c>
      <c r="E140" s="149">
        <f>(E113+E114+E118+E122)-(E129+E130+E131+E135+E139)</f>
        <v>0</v>
      </c>
      <c r="F140" s="263">
        <f t="shared" si="11"/>
        <v>0</v>
      </c>
      <c r="G140" s="141" t="e">
        <f t="shared" si="12"/>
        <v>#DIV/0!</v>
      </c>
      <c r="H140" s="111"/>
    </row>
    <row r="141" spans="1:8" ht="20.100000000000001" customHeight="1">
      <c r="A141" s="5" t="s">
        <v>33</v>
      </c>
      <c r="B141" s="152"/>
      <c r="C141" s="312"/>
      <c r="D141" s="323"/>
      <c r="E141" s="278"/>
      <c r="F141" s="263">
        <f t="shared" si="11"/>
        <v>0</v>
      </c>
      <c r="G141" s="141" t="e">
        <f t="shared" si="12"/>
        <v>#DIV/0!</v>
      </c>
      <c r="H141" s="111"/>
    </row>
    <row r="142" spans="1:8" ht="20.100000000000001" customHeight="1">
      <c r="A142" s="7" t="s">
        <v>34</v>
      </c>
      <c r="B142" s="40">
        <v>3600</v>
      </c>
      <c r="C142" s="103">
        <v>35677</v>
      </c>
      <c r="D142" s="103">
        <v>41428</v>
      </c>
      <c r="E142" s="103">
        <v>41428</v>
      </c>
      <c r="F142" s="263">
        <f t="shared" si="11"/>
        <v>0</v>
      </c>
      <c r="G142" s="141">
        <f t="shared" si="12"/>
        <v>100</v>
      </c>
      <c r="H142" s="111"/>
    </row>
    <row r="143" spans="1:8" ht="20.100000000000001" customHeight="1">
      <c r="A143" s="98" t="s">
        <v>142</v>
      </c>
      <c r="B143" s="152">
        <v>3610</v>
      </c>
      <c r="C143" s="307"/>
      <c r="D143" s="323">
        <v>0</v>
      </c>
      <c r="E143" s="278"/>
      <c r="F143" s="263">
        <f t="shared" si="11"/>
        <v>0</v>
      </c>
      <c r="G143" s="141" t="e">
        <f t="shared" si="12"/>
        <v>#DIV/0!</v>
      </c>
      <c r="H143" s="111"/>
    </row>
    <row r="144" spans="1:8" ht="20.100000000000001" customHeight="1">
      <c r="A144" s="7" t="s">
        <v>53</v>
      </c>
      <c r="B144" s="40">
        <v>3620</v>
      </c>
      <c r="C144" s="149">
        <f>C140+C32+C110+C142</f>
        <v>27110</v>
      </c>
      <c r="D144" s="149">
        <f>D140+D32+D110+D142</f>
        <v>87542</v>
      </c>
      <c r="E144" s="149">
        <f>E140+E32+E110+E142</f>
        <v>36404</v>
      </c>
      <c r="F144" s="263">
        <f t="shared" si="11"/>
        <v>-51138</v>
      </c>
      <c r="G144" s="141">
        <f t="shared" si="12"/>
        <v>41.584610815380046</v>
      </c>
      <c r="H144" s="111"/>
    </row>
    <row r="145" spans="1:8" ht="31.5" customHeight="1">
      <c r="A145" s="7" t="s">
        <v>35</v>
      </c>
      <c r="B145" s="183">
        <v>3630</v>
      </c>
      <c r="C145" s="82">
        <f>C32+C110+C140</f>
        <v>-8567</v>
      </c>
      <c r="D145" s="82">
        <f>D32+D110+D140</f>
        <v>46114</v>
      </c>
      <c r="E145" s="82">
        <f>E32+E110+E140</f>
        <v>-5024</v>
      </c>
      <c r="F145" s="263">
        <f t="shared" si="11"/>
        <v>-51138</v>
      </c>
      <c r="G145" s="141">
        <f t="shared" si="12"/>
        <v>-10.894739124777725</v>
      </c>
      <c r="H145" s="111"/>
    </row>
    <row r="146" spans="1:8">
      <c r="A146" s="69"/>
      <c r="B146" s="73"/>
      <c r="C146" s="321"/>
      <c r="D146" s="128"/>
      <c r="E146" s="89">
        <f>36404-E144</f>
        <v>0</v>
      </c>
      <c r="F146" s="128"/>
      <c r="G146" s="128"/>
      <c r="H146" s="111"/>
    </row>
    <row r="147" spans="1:8" ht="20.100000000000001" customHeight="1">
      <c r="A147" s="69"/>
      <c r="B147" s="73"/>
      <c r="C147" s="321"/>
      <c r="D147" s="128"/>
      <c r="E147" s="89"/>
      <c r="F147" s="128"/>
      <c r="G147" s="128"/>
      <c r="H147" s="111"/>
    </row>
    <row r="148" spans="1:8" s="242" customFormat="1" ht="20.25" customHeight="1" thickBot="1">
      <c r="A148" s="62" t="s">
        <v>497</v>
      </c>
      <c r="B148" s="63"/>
      <c r="C148" s="221"/>
      <c r="D148" s="64"/>
      <c r="E148" s="285"/>
      <c r="F148" s="285" t="s">
        <v>620</v>
      </c>
      <c r="G148" s="285"/>
    </row>
    <row r="149" spans="1:8" ht="21" customHeight="1">
      <c r="A149" s="216" t="s">
        <v>66</v>
      </c>
      <c r="B149" s="50"/>
      <c r="C149" s="104" t="s">
        <v>491</v>
      </c>
      <c r="D149" s="65"/>
      <c r="E149" s="284"/>
      <c r="F149" s="284" t="s">
        <v>593</v>
      </c>
      <c r="G149" s="284"/>
    </row>
    <row r="150" spans="1:8">
      <c r="C150" s="218"/>
      <c r="H150" s="109"/>
    </row>
    <row r="151" spans="1:8" s="10" customFormat="1" ht="20.100000000000001" customHeight="1">
      <c r="A151" s="1"/>
      <c r="B151" s="1"/>
      <c r="C151" s="218"/>
      <c r="D151" s="1"/>
      <c r="F151" s="1"/>
      <c r="G151" s="1"/>
      <c r="H151" s="109"/>
    </row>
    <row r="152" spans="1:8" s="10" customFormat="1" ht="20.100000000000001" customHeight="1">
      <c r="A152" s="1"/>
      <c r="B152" s="1"/>
      <c r="C152" s="218"/>
      <c r="D152" s="1"/>
      <c r="F152" s="1"/>
      <c r="G152" s="1"/>
      <c r="H152" s="111"/>
    </row>
    <row r="153" spans="1:8" s="10" customFormat="1">
      <c r="A153" s="1"/>
      <c r="B153" s="1"/>
      <c r="C153" s="218"/>
      <c r="D153" s="1"/>
      <c r="E153" s="1"/>
      <c r="F153" s="1"/>
      <c r="G153" s="1"/>
      <c r="H153" s="177"/>
    </row>
    <row r="154" spans="1:8" s="10" customFormat="1" ht="20.100000000000001" customHeight="1">
      <c r="A154" s="1"/>
      <c r="B154" s="1"/>
      <c r="C154" s="218"/>
      <c r="D154" s="1"/>
      <c r="E154" s="1"/>
      <c r="F154" s="1"/>
      <c r="G154" s="1"/>
      <c r="H154" s="177"/>
    </row>
    <row r="155" spans="1:8" s="10" customFormat="1" ht="20.100000000000001" customHeight="1">
      <c r="A155" s="1"/>
      <c r="B155" s="1"/>
      <c r="C155" s="218"/>
      <c r="D155" s="1"/>
      <c r="E155" s="1"/>
      <c r="F155" s="1"/>
      <c r="G155" s="1"/>
      <c r="H155" s="86"/>
    </row>
    <row r="156" spans="1:8" s="10" customFormat="1" ht="20.100000000000001" customHeight="1">
      <c r="A156" s="1"/>
      <c r="B156" s="1"/>
      <c r="C156" s="218"/>
      <c r="D156" s="1"/>
      <c r="E156" s="1"/>
      <c r="F156" s="1"/>
      <c r="G156" s="1"/>
      <c r="H156" s="86"/>
    </row>
    <row r="157" spans="1:8" s="10" customFormat="1" ht="20.100000000000001" customHeight="1">
      <c r="A157" s="1"/>
      <c r="B157" s="1"/>
      <c r="C157" s="218"/>
      <c r="D157" s="1"/>
      <c r="E157" s="1"/>
      <c r="F157" s="1"/>
      <c r="G157" s="1"/>
      <c r="H157" s="86"/>
    </row>
    <row r="158" spans="1:8" s="10" customFormat="1" ht="20.100000000000001" customHeight="1">
      <c r="A158" s="1"/>
      <c r="B158" s="1"/>
      <c r="C158" s="218"/>
      <c r="D158" s="1"/>
      <c r="E158" s="1"/>
      <c r="F158" s="1"/>
      <c r="G158" s="1"/>
      <c r="H158" s="155"/>
    </row>
    <row r="159" spans="1:8" s="159" customFormat="1">
      <c r="A159" s="1"/>
      <c r="B159" s="1"/>
      <c r="C159" s="218"/>
      <c r="D159" s="1"/>
      <c r="E159" s="1"/>
      <c r="F159" s="1"/>
      <c r="G159" s="1"/>
      <c r="H159" s="150"/>
    </row>
    <row r="160" spans="1:8" ht="20.100000000000001" customHeight="1">
      <c r="C160" s="218"/>
    </row>
    <row r="161" spans="3:3">
      <c r="C161" s="218"/>
    </row>
    <row r="162" spans="3:3">
      <c r="C162" s="218"/>
    </row>
    <row r="163" spans="3:3">
      <c r="C163" s="218"/>
    </row>
    <row r="164" spans="3:3">
      <c r="C164" s="218"/>
    </row>
    <row r="165" spans="3:3">
      <c r="C165" s="218"/>
    </row>
    <row r="166" spans="3:3">
      <c r="C166" s="218"/>
    </row>
    <row r="167" spans="3:3">
      <c r="C167" s="218"/>
    </row>
    <row r="168" spans="3:3">
      <c r="C168" s="218"/>
    </row>
    <row r="169" spans="3:3">
      <c r="C169" s="218"/>
    </row>
    <row r="170" spans="3:3">
      <c r="C170" s="218"/>
    </row>
    <row r="171" spans="3:3">
      <c r="C171" s="218"/>
    </row>
    <row r="172" spans="3:3">
      <c r="C172" s="218"/>
    </row>
    <row r="173" spans="3:3">
      <c r="C173" s="218"/>
    </row>
    <row r="174" spans="3:3">
      <c r="C174" s="218"/>
    </row>
    <row r="175" spans="3:3">
      <c r="C175" s="218"/>
    </row>
    <row r="176" spans="3:3">
      <c r="C176" s="218"/>
    </row>
    <row r="177" spans="3:3">
      <c r="C177" s="218"/>
    </row>
    <row r="178" spans="3:3">
      <c r="C178" s="218"/>
    </row>
    <row r="179" spans="3:3">
      <c r="C179" s="218"/>
    </row>
  </sheetData>
  <sheetProtection formatCells="0" formatColumns="0" formatRows="0" insertRows="0"/>
  <autoFilter ref="A51:H51"/>
  <mergeCells count="8">
    <mergeCell ref="A6:G6"/>
    <mergeCell ref="A33:G33"/>
    <mergeCell ref="A111:G111"/>
    <mergeCell ref="A1:G1"/>
    <mergeCell ref="A3:A4"/>
    <mergeCell ref="B3:B4"/>
    <mergeCell ref="C3:C4"/>
    <mergeCell ref="D3:G3"/>
  </mergeCells>
  <phoneticPr fontId="4" type="noConversion"/>
  <pageMargins left="0.78740157480314965" right="0.39370078740157483" top="0.59055118110236227" bottom="0.59055118110236227" header="0.19685039370078741" footer="0.23622047244094491"/>
  <pageSetup paperSize="9" scale="66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"/>
  <sheetViews>
    <sheetView topLeftCell="B1"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3399FF"/>
  </sheetPr>
  <dimension ref="A1:N186"/>
  <sheetViews>
    <sheetView zoomScale="75" zoomScaleNormal="75" zoomScaleSheetLayoutView="80" workbookViewId="0">
      <selection activeCell="O13" sqref="O13"/>
    </sheetView>
  </sheetViews>
  <sheetFormatPr defaultRowHeight="18.75"/>
  <cols>
    <col min="1" max="1" width="45" style="159" customWidth="1"/>
    <col min="2" max="2" width="15.7109375" style="156" customWidth="1"/>
    <col min="3" max="3" width="16" style="156" customWidth="1"/>
    <col min="4" max="5" width="16.28515625" style="242" customWidth="1"/>
    <col min="6" max="6" width="15.85546875" style="159" customWidth="1"/>
    <col min="7" max="7" width="15.28515625" style="159" customWidth="1"/>
    <col min="8" max="8" width="19" style="159" customWidth="1"/>
    <col min="9" max="12" width="9.140625" style="159"/>
    <col min="13" max="13" width="12.7109375" style="159" customWidth="1"/>
    <col min="14" max="14" width="11.85546875" style="159" customWidth="1"/>
    <col min="15" max="16384" width="9.140625" style="159"/>
  </cols>
  <sheetData>
    <row r="1" spans="1:9">
      <c r="A1" s="391" t="s">
        <v>174</v>
      </c>
      <c r="B1" s="391"/>
      <c r="C1" s="391"/>
      <c r="D1" s="391"/>
      <c r="E1" s="391"/>
      <c r="F1" s="391"/>
      <c r="G1" s="391"/>
    </row>
    <row r="2" spans="1:9">
      <c r="A2" s="395" t="s">
        <v>501</v>
      </c>
      <c r="B2" s="395"/>
      <c r="C2" s="395"/>
      <c r="D2" s="395"/>
      <c r="E2" s="395"/>
      <c r="F2" s="395"/>
      <c r="G2" s="395"/>
    </row>
    <row r="3" spans="1:9" ht="43.5" customHeight="1">
      <c r="A3" s="387" t="s">
        <v>201</v>
      </c>
      <c r="B3" s="390" t="s">
        <v>18</v>
      </c>
      <c r="C3" s="390" t="s">
        <v>469</v>
      </c>
      <c r="D3" s="390" t="s">
        <v>609</v>
      </c>
      <c r="E3" s="390"/>
      <c r="F3" s="390"/>
      <c r="G3" s="390"/>
    </row>
    <row r="4" spans="1:9" ht="56.25" customHeight="1">
      <c r="A4" s="387"/>
      <c r="B4" s="390"/>
      <c r="C4" s="390"/>
      <c r="D4" s="330" t="s">
        <v>463</v>
      </c>
      <c r="E4" s="281" t="s">
        <v>590</v>
      </c>
      <c r="F4" s="217" t="s">
        <v>468</v>
      </c>
      <c r="G4" s="217" t="s">
        <v>466</v>
      </c>
    </row>
    <row r="5" spans="1:9" ht="18" customHeight="1">
      <c r="A5" s="152">
        <v>1</v>
      </c>
      <c r="B5" s="151">
        <v>2</v>
      </c>
      <c r="C5" s="215">
        <v>3</v>
      </c>
      <c r="D5" s="329">
        <v>4</v>
      </c>
      <c r="E5" s="280"/>
      <c r="F5" s="215">
        <v>6</v>
      </c>
      <c r="G5" s="215">
        <v>7</v>
      </c>
    </row>
    <row r="6" spans="1:9" s="162" customFormat="1" ht="42.75" customHeight="1">
      <c r="A6" s="5" t="s">
        <v>69</v>
      </c>
      <c r="B6" s="33">
        <v>4000</v>
      </c>
      <c r="C6" s="239">
        <f>SUM(C7:C11)</f>
        <v>348733</v>
      </c>
      <c r="D6" s="323">
        <f t="shared" ref="D6" si="0">SUM(D7:D11)</f>
        <v>813852</v>
      </c>
      <c r="E6" s="239">
        <f>SUM(E7:E11)</f>
        <v>123674</v>
      </c>
      <c r="F6" s="140">
        <f t="shared" ref="F6:F11" si="1">E6-D6</f>
        <v>-690178</v>
      </c>
      <c r="G6" s="141">
        <f t="shared" ref="G6:G11" si="2">E6/D6*100</f>
        <v>15.19612902591626</v>
      </c>
    </row>
    <row r="7" spans="1:9" ht="20.100000000000001" customHeight="1">
      <c r="A7" s="5" t="s">
        <v>1</v>
      </c>
      <c r="B7" s="161" t="s">
        <v>183</v>
      </c>
      <c r="C7" s="238">
        <v>342398</v>
      </c>
      <c r="D7" s="223">
        <v>812144</v>
      </c>
      <c r="E7" s="238">
        <v>122175</v>
      </c>
      <c r="F7" s="140">
        <f t="shared" si="1"/>
        <v>-689969</v>
      </c>
      <c r="G7" s="141">
        <f t="shared" si="2"/>
        <v>15.043514450639295</v>
      </c>
    </row>
    <row r="8" spans="1:9" ht="37.5">
      <c r="A8" s="5" t="s">
        <v>2</v>
      </c>
      <c r="B8" s="33">
        <v>4020</v>
      </c>
      <c r="C8" s="238">
        <v>69</v>
      </c>
      <c r="D8" s="223">
        <v>0</v>
      </c>
      <c r="E8" s="238">
        <v>372</v>
      </c>
      <c r="F8" s="140">
        <f t="shared" si="1"/>
        <v>372</v>
      </c>
      <c r="G8" s="141" t="e">
        <f t="shared" si="2"/>
        <v>#DIV/0!</v>
      </c>
    </row>
    <row r="9" spans="1:9" ht="37.5">
      <c r="A9" s="5" t="s">
        <v>30</v>
      </c>
      <c r="B9" s="161">
        <v>4030</v>
      </c>
      <c r="C9" s="238">
        <v>792</v>
      </c>
      <c r="D9" s="168">
        <v>1665</v>
      </c>
      <c r="E9" s="238">
        <v>1084</v>
      </c>
      <c r="F9" s="140">
        <f t="shared" si="1"/>
        <v>-581</v>
      </c>
      <c r="G9" s="141">
        <f t="shared" si="2"/>
        <v>65.10510510510511</v>
      </c>
    </row>
    <row r="10" spans="1:9" ht="37.5">
      <c r="A10" s="5" t="s">
        <v>3</v>
      </c>
      <c r="B10" s="33">
        <v>4040</v>
      </c>
      <c r="C10" s="238"/>
      <c r="D10" s="223">
        <v>0</v>
      </c>
      <c r="E10" s="238">
        <v>0</v>
      </c>
      <c r="F10" s="140">
        <f t="shared" si="1"/>
        <v>0</v>
      </c>
      <c r="G10" s="141" t="e">
        <f t="shared" si="2"/>
        <v>#DIV/0!</v>
      </c>
    </row>
    <row r="11" spans="1:9" ht="75">
      <c r="A11" s="5" t="s">
        <v>439</v>
      </c>
      <c r="B11" s="161">
        <v>4050</v>
      </c>
      <c r="C11" s="238">
        <v>5474</v>
      </c>
      <c r="D11" s="223">
        <v>43</v>
      </c>
      <c r="E11" s="238">
        <f>44-1</f>
        <v>43</v>
      </c>
      <c r="F11" s="140">
        <f t="shared" si="1"/>
        <v>0</v>
      </c>
      <c r="G11" s="141">
        <f t="shared" si="2"/>
        <v>100</v>
      </c>
    </row>
    <row r="12" spans="1:9" ht="20.100000000000001" customHeight="1">
      <c r="A12" s="50"/>
      <c r="B12" s="50"/>
      <c r="C12" s="50"/>
      <c r="D12" s="74"/>
      <c r="E12" s="74"/>
      <c r="F12" s="74"/>
      <c r="G12" s="74"/>
    </row>
    <row r="13" spans="1:9" ht="20.100000000000001" customHeight="1">
      <c r="A13" s="50"/>
      <c r="B13" s="50"/>
      <c r="C13" s="50"/>
      <c r="D13" s="74"/>
      <c r="E13" s="74"/>
      <c r="F13" s="74"/>
      <c r="G13" s="74"/>
    </row>
    <row r="14" spans="1:9" s="1" customFormat="1">
      <c r="A14" s="150"/>
      <c r="B14" s="69"/>
      <c r="C14" s="50"/>
      <c r="D14" s="50"/>
      <c r="E14" s="50"/>
      <c r="F14" s="50"/>
      <c r="G14" s="50"/>
    </row>
    <row r="15" spans="1:9" s="242" customFormat="1" ht="20.25" customHeight="1" thickBot="1">
      <c r="A15" s="62" t="s">
        <v>497</v>
      </c>
      <c r="B15" s="63"/>
      <c r="C15" s="221"/>
      <c r="D15" s="64"/>
      <c r="E15" s="285"/>
      <c r="F15" s="285" t="s">
        <v>620</v>
      </c>
      <c r="G15" s="285"/>
    </row>
    <row r="16" spans="1:9" s="1" customFormat="1" ht="21" customHeight="1">
      <c r="A16" s="216" t="s">
        <v>66</v>
      </c>
      <c r="B16" s="50"/>
      <c r="C16" s="104" t="s">
        <v>491</v>
      </c>
      <c r="D16" s="65"/>
      <c r="E16" s="284"/>
      <c r="F16" s="284" t="s">
        <v>593</v>
      </c>
      <c r="G16" s="284"/>
      <c r="I16"/>
    </row>
    <row r="17" spans="1:14" s="1" customFormat="1" ht="20.100000000000001" customHeight="1">
      <c r="A17" s="155"/>
      <c r="B17" s="50"/>
      <c r="C17" s="155"/>
      <c r="D17" s="65"/>
      <c r="E17" s="272"/>
      <c r="F17" s="150"/>
      <c r="G17" s="150"/>
    </row>
    <row r="18" spans="1:14">
      <c r="A18" s="75"/>
      <c r="B18" s="155"/>
      <c r="C18" s="155"/>
      <c r="D18" s="50"/>
      <c r="E18" s="50"/>
      <c r="F18" s="50"/>
      <c r="G18" s="50"/>
      <c r="I18" s="162"/>
      <c r="J18" s="162"/>
      <c r="K18" s="162"/>
    </row>
    <row r="19" spans="1:14">
      <c r="A19" s="75"/>
      <c r="B19" s="155"/>
      <c r="C19" s="155"/>
      <c r="D19" s="50"/>
      <c r="E19" s="50"/>
      <c r="F19" s="50"/>
      <c r="G19" s="50"/>
      <c r="I19" s="162"/>
      <c r="J19" s="162"/>
      <c r="K19" s="162"/>
    </row>
    <row r="20" spans="1:14">
      <c r="A20" s="75"/>
      <c r="B20" s="155"/>
      <c r="C20" s="155"/>
      <c r="D20" s="50"/>
      <c r="E20" s="50"/>
      <c r="F20" s="50"/>
      <c r="G20" s="50"/>
      <c r="I20" s="1"/>
    </row>
    <row r="21" spans="1:14">
      <c r="A21" s="24"/>
      <c r="D21" s="91"/>
      <c r="E21" s="91"/>
      <c r="F21" s="91"/>
      <c r="G21" s="91"/>
      <c r="I21" s="1"/>
    </row>
    <row r="22" spans="1:14">
      <c r="A22" s="24"/>
      <c r="D22" s="91"/>
      <c r="E22" s="91"/>
      <c r="F22" s="91"/>
      <c r="G22" s="91"/>
      <c r="I22" s="1"/>
    </row>
    <row r="23" spans="1:14">
      <c r="A23" s="24"/>
      <c r="D23" s="91"/>
      <c r="E23" s="91"/>
      <c r="F23" s="91"/>
      <c r="G23" s="91"/>
    </row>
    <row r="24" spans="1:14">
      <c r="A24" s="24"/>
    </row>
    <row r="25" spans="1:14">
      <c r="A25" s="24"/>
      <c r="D25" s="91"/>
      <c r="E25" s="91"/>
      <c r="F25" s="91"/>
      <c r="G25" s="91"/>
    </row>
    <row r="26" spans="1:14">
      <c r="A26" s="24"/>
      <c r="I26" s="1"/>
    </row>
    <row r="27" spans="1:14">
      <c r="A27" s="24"/>
    </row>
    <row r="28" spans="1:14">
      <c r="A28" s="24"/>
      <c r="I28" s="1"/>
      <c r="J28" s="1"/>
      <c r="K28" s="1"/>
    </row>
    <row r="29" spans="1:14">
      <c r="A29" s="24"/>
      <c r="I29" s="1"/>
      <c r="J29" s="1"/>
      <c r="K29" s="1"/>
    </row>
    <row r="30" spans="1:14">
      <c r="A30" s="24"/>
      <c r="D30" s="91"/>
      <c r="E30" s="91"/>
      <c r="F30" s="91"/>
      <c r="G30" s="91"/>
      <c r="I30" s="1"/>
    </row>
    <row r="31" spans="1:14">
      <c r="A31" s="24"/>
      <c r="D31" s="91"/>
      <c r="E31" s="91"/>
      <c r="F31" s="91"/>
      <c r="G31" s="91"/>
      <c r="I31" s="1"/>
      <c r="J31" s="1"/>
      <c r="K31" s="1"/>
      <c r="N31" s="144"/>
    </row>
    <row r="32" spans="1:14">
      <c r="A32" s="24"/>
    </row>
    <row r="33" spans="1:1">
      <c r="A33" s="24"/>
    </row>
    <row r="34" spans="1:1">
      <c r="A34" s="24"/>
    </row>
    <row r="35" spans="1:1">
      <c r="A35" s="24"/>
    </row>
    <row r="36" spans="1:1">
      <c r="A36" s="24"/>
    </row>
    <row r="37" spans="1:1">
      <c r="A37" s="24"/>
    </row>
    <row r="38" spans="1:1">
      <c r="A38" s="24"/>
    </row>
    <row r="39" spans="1:1">
      <c r="A39" s="24"/>
    </row>
    <row r="40" spans="1:1">
      <c r="A40" s="24"/>
    </row>
    <row r="41" spans="1:1">
      <c r="A41" s="24"/>
    </row>
    <row r="42" spans="1:1">
      <c r="A42" s="24"/>
    </row>
    <row r="43" spans="1:1">
      <c r="A43" s="24"/>
    </row>
    <row r="44" spans="1:1">
      <c r="A44" s="24"/>
    </row>
    <row r="45" spans="1:1">
      <c r="A45" s="24"/>
    </row>
    <row r="46" spans="1:1">
      <c r="A46" s="24"/>
    </row>
    <row r="47" spans="1:1">
      <c r="A47" s="24"/>
    </row>
    <row r="48" spans="1:1">
      <c r="A48" s="24"/>
    </row>
    <row r="49" spans="1:1">
      <c r="A49" s="24"/>
    </row>
    <row r="50" spans="1:1">
      <c r="A50" s="24"/>
    </row>
    <row r="51" spans="1:1">
      <c r="A51" s="24"/>
    </row>
    <row r="52" spans="1:1">
      <c r="A52" s="24"/>
    </row>
    <row r="53" spans="1:1">
      <c r="A53" s="24"/>
    </row>
    <row r="54" spans="1:1">
      <c r="A54" s="24"/>
    </row>
    <row r="55" spans="1:1">
      <c r="A55" s="24"/>
    </row>
    <row r="56" spans="1:1">
      <c r="A56" s="24"/>
    </row>
    <row r="57" spans="1:1">
      <c r="A57" s="24"/>
    </row>
    <row r="58" spans="1:1">
      <c r="A58" s="24"/>
    </row>
    <row r="59" spans="1:1">
      <c r="A59" s="24"/>
    </row>
    <row r="60" spans="1:1">
      <c r="A60" s="24"/>
    </row>
    <row r="61" spans="1:1">
      <c r="A61" s="24"/>
    </row>
    <row r="62" spans="1:1">
      <c r="A62" s="24"/>
    </row>
    <row r="63" spans="1:1">
      <c r="A63" s="24"/>
    </row>
    <row r="64" spans="1:1">
      <c r="A64" s="24"/>
    </row>
    <row r="65" spans="1:1">
      <c r="A65" s="24"/>
    </row>
    <row r="66" spans="1:1">
      <c r="A66" s="24"/>
    </row>
    <row r="67" spans="1:1">
      <c r="A67" s="24"/>
    </row>
    <row r="68" spans="1:1">
      <c r="A68" s="24"/>
    </row>
    <row r="69" spans="1: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  <row r="75" spans="1:1">
      <c r="A75" s="24"/>
    </row>
    <row r="76" spans="1:1">
      <c r="A76" s="24"/>
    </row>
    <row r="77" spans="1:1">
      <c r="A77" s="24"/>
    </row>
    <row r="78" spans="1:1">
      <c r="A78" s="24"/>
    </row>
    <row r="79" spans="1:1">
      <c r="A79" s="24"/>
    </row>
    <row r="80" spans="1:1">
      <c r="A80" s="24"/>
    </row>
    <row r="81" spans="1:1">
      <c r="A81" s="24"/>
    </row>
    <row r="82" spans="1:1">
      <c r="A82" s="24"/>
    </row>
    <row r="83" spans="1:1">
      <c r="A83" s="24"/>
    </row>
    <row r="84" spans="1:1">
      <c r="A84" s="24"/>
    </row>
    <row r="85" spans="1:1">
      <c r="A85" s="24"/>
    </row>
    <row r="86" spans="1:1">
      <c r="A86" s="24"/>
    </row>
    <row r="87" spans="1:1">
      <c r="A87" s="24"/>
    </row>
    <row r="88" spans="1:1">
      <c r="A88" s="24"/>
    </row>
    <row r="89" spans="1:1">
      <c r="A89" s="24"/>
    </row>
    <row r="90" spans="1:1">
      <c r="A90" s="24"/>
    </row>
    <row r="91" spans="1:1">
      <c r="A91" s="24"/>
    </row>
    <row r="92" spans="1:1">
      <c r="A92" s="24"/>
    </row>
    <row r="93" spans="1:1">
      <c r="A93" s="24"/>
    </row>
    <row r="94" spans="1:1">
      <c r="A94" s="24"/>
    </row>
    <row r="95" spans="1:1">
      <c r="A95" s="24"/>
    </row>
    <row r="96" spans="1:1">
      <c r="A96" s="24"/>
    </row>
    <row r="97" spans="1:1">
      <c r="A97" s="24"/>
    </row>
    <row r="98" spans="1:1">
      <c r="A98" s="24"/>
    </row>
    <row r="99" spans="1:1">
      <c r="A99" s="24"/>
    </row>
    <row r="100" spans="1:1">
      <c r="A100" s="24"/>
    </row>
    <row r="101" spans="1:1">
      <c r="A101" s="24"/>
    </row>
    <row r="102" spans="1:1">
      <c r="A102" s="24"/>
    </row>
    <row r="103" spans="1:1">
      <c r="A103" s="24"/>
    </row>
    <row r="104" spans="1:1">
      <c r="A104" s="24"/>
    </row>
    <row r="105" spans="1:1">
      <c r="A105" s="24"/>
    </row>
    <row r="106" spans="1:1">
      <c r="A106" s="24"/>
    </row>
    <row r="107" spans="1:1">
      <c r="A107" s="24"/>
    </row>
    <row r="108" spans="1:1">
      <c r="A108" s="24"/>
    </row>
    <row r="109" spans="1:1">
      <c r="A109" s="24"/>
    </row>
    <row r="110" spans="1:1">
      <c r="A110" s="24"/>
    </row>
    <row r="111" spans="1:1">
      <c r="A111" s="24"/>
    </row>
    <row r="112" spans="1:1">
      <c r="A112" s="24"/>
    </row>
    <row r="113" spans="1:1">
      <c r="A113" s="24"/>
    </row>
    <row r="114" spans="1:1">
      <c r="A114" s="24"/>
    </row>
    <row r="115" spans="1:1">
      <c r="A115" s="24"/>
    </row>
    <row r="116" spans="1:1">
      <c r="A116" s="24"/>
    </row>
    <row r="117" spans="1:1">
      <c r="A117" s="24"/>
    </row>
    <row r="118" spans="1:1">
      <c r="A118" s="24"/>
    </row>
    <row r="119" spans="1:1">
      <c r="A119" s="24"/>
    </row>
    <row r="120" spans="1:1">
      <c r="A120" s="24"/>
    </row>
    <row r="121" spans="1:1">
      <c r="A121" s="24"/>
    </row>
    <row r="122" spans="1:1">
      <c r="A122" s="24"/>
    </row>
    <row r="123" spans="1:1">
      <c r="A123" s="24"/>
    </row>
    <row r="124" spans="1:1">
      <c r="A124" s="24"/>
    </row>
    <row r="125" spans="1:1">
      <c r="A125" s="24"/>
    </row>
    <row r="126" spans="1:1">
      <c r="A126" s="24"/>
    </row>
    <row r="127" spans="1:1">
      <c r="A127" s="24"/>
    </row>
    <row r="128" spans="1:1">
      <c r="A128" s="24"/>
    </row>
    <row r="129" spans="1:1">
      <c r="A129" s="24"/>
    </row>
    <row r="130" spans="1:1">
      <c r="A130" s="24"/>
    </row>
    <row r="131" spans="1:1">
      <c r="A131" s="24"/>
    </row>
    <row r="132" spans="1:1">
      <c r="A132" s="24"/>
    </row>
    <row r="133" spans="1:1">
      <c r="A133" s="24"/>
    </row>
    <row r="134" spans="1:1">
      <c r="A134" s="24"/>
    </row>
    <row r="135" spans="1:1">
      <c r="A135" s="24"/>
    </row>
    <row r="136" spans="1:1">
      <c r="A136" s="24"/>
    </row>
    <row r="137" spans="1:1">
      <c r="A137" s="24"/>
    </row>
    <row r="138" spans="1:1">
      <c r="A138" s="24"/>
    </row>
    <row r="139" spans="1:1">
      <c r="A139" s="24"/>
    </row>
    <row r="140" spans="1:1">
      <c r="A140" s="24"/>
    </row>
    <row r="141" spans="1:1">
      <c r="A141" s="24"/>
    </row>
    <row r="142" spans="1:1">
      <c r="A142" s="24"/>
    </row>
    <row r="143" spans="1:1">
      <c r="A143" s="24"/>
    </row>
    <row r="144" spans="1:1">
      <c r="A144" s="24"/>
    </row>
    <row r="145" spans="1:1">
      <c r="A145" s="24"/>
    </row>
    <row r="146" spans="1:1">
      <c r="A146" s="24"/>
    </row>
    <row r="147" spans="1:1">
      <c r="A147" s="24"/>
    </row>
    <row r="148" spans="1:1">
      <c r="A148" s="24"/>
    </row>
    <row r="149" spans="1:1">
      <c r="A149" s="24"/>
    </row>
    <row r="150" spans="1:1">
      <c r="A150" s="24"/>
    </row>
    <row r="151" spans="1:1">
      <c r="A151" s="24"/>
    </row>
    <row r="152" spans="1:1">
      <c r="A152" s="24"/>
    </row>
    <row r="153" spans="1:1">
      <c r="A153" s="24"/>
    </row>
    <row r="154" spans="1:1">
      <c r="A154" s="24"/>
    </row>
    <row r="155" spans="1:1">
      <c r="A155" s="24"/>
    </row>
    <row r="156" spans="1:1">
      <c r="A156" s="24"/>
    </row>
    <row r="157" spans="1:1">
      <c r="A157" s="24"/>
    </row>
    <row r="158" spans="1:1">
      <c r="A158" s="24"/>
    </row>
    <row r="159" spans="1:1">
      <c r="A159" s="24"/>
    </row>
    <row r="160" spans="1:1">
      <c r="A160" s="24"/>
    </row>
    <row r="161" spans="1:1">
      <c r="A161" s="24"/>
    </row>
    <row r="162" spans="1:1">
      <c r="A162" s="24"/>
    </row>
    <row r="163" spans="1:1">
      <c r="A163" s="24"/>
    </row>
    <row r="164" spans="1:1">
      <c r="A164" s="24"/>
    </row>
    <row r="165" spans="1:1">
      <c r="A165" s="24"/>
    </row>
    <row r="166" spans="1:1">
      <c r="A166" s="24"/>
    </row>
    <row r="167" spans="1:1">
      <c r="A167" s="24"/>
    </row>
    <row r="168" spans="1:1">
      <c r="A168" s="24"/>
    </row>
    <row r="169" spans="1:1">
      <c r="A169" s="24"/>
    </row>
    <row r="170" spans="1:1">
      <c r="A170" s="24"/>
    </row>
    <row r="171" spans="1:1">
      <c r="A171" s="24"/>
    </row>
    <row r="172" spans="1:1">
      <c r="A172" s="24"/>
    </row>
    <row r="173" spans="1:1">
      <c r="A173" s="24"/>
    </row>
    <row r="174" spans="1:1">
      <c r="A174" s="24"/>
    </row>
    <row r="175" spans="1:1">
      <c r="A175" s="24"/>
    </row>
    <row r="176" spans="1:1">
      <c r="A176" s="24"/>
    </row>
    <row r="177" spans="1:1">
      <c r="A177" s="24"/>
    </row>
    <row r="178" spans="1:1">
      <c r="A178" s="24"/>
    </row>
    <row r="179" spans="1:1">
      <c r="A179" s="24"/>
    </row>
    <row r="180" spans="1:1">
      <c r="A180" s="24"/>
    </row>
    <row r="181" spans="1:1">
      <c r="A181" s="24"/>
    </row>
    <row r="182" spans="1:1">
      <c r="A182" s="24"/>
    </row>
    <row r="183" spans="1:1">
      <c r="A183" s="24"/>
    </row>
    <row r="184" spans="1:1">
      <c r="A184" s="24"/>
    </row>
    <row r="185" spans="1:1">
      <c r="A185" s="24"/>
    </row>
    <row r="186" spans="1:1">
      <c r="A186" s="24"/>
    </row>
  </sheetData>
  <sheetProtection formatCells="0" formatColumns="0" formatRows="0"/>
  <mergeCells count="6">
    <mergeCell ref="A3:A4"/>
    <mergeCell ref="A1:G1"/>
    <mergeCell ref="B3:B4"/>
    <mergeCell ref="C3:C4"/>
    <mergeCell ref="A2:G2"/>
    <mergeCell ref="D3:G3"/>
  </mergeCells>
  <phoneticPr fontId="0" type="noConversion"/>
  <pageMargins left="0.78740157480314965" right="0.2" top="0.59055118110236227" bottom="0.59055118110236227" header="0.27559055118110237" footer="0.31496062992125984"/>
  <pageSetup paperSize="9" scale="50" firstPageNumber="9" orientation="portrait" useFirstPageNumber="1" r:id="rId1"/>
  <headerFooter alignWithMargins="0"/>
  <ignoredErrors>
    <ignoredError sqref="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K31"/>
  <sheetViews>
    <sheetView showWhiteSpace="0" zoomScale="78" zoomScaleNormal="78" zoomScalePageLayoutView="70" workbookViewId="0">
      <pane ySplit="5" topLeftCell="A6" activePane="bottomLeft" state="frozen"/>
      <selection pane="bottomLeft" activeCell="F25" sqref="F25"/>
    </sheetView>
  </sheetViews>
  <sheetFormatPr defaultRowHeight="12.75"/>
  <cols>
    <col min="1" max="1" width="57.28515625" style="16" customWidth="1"/>
    <col min="2" max="2" width="12.5703125" style="16" customWidth="1"/>
    <col min="3" max="3" width="16.85546875" style="16" customWidth="1"/>
    <col min="4" max="4" width="15" style="16" customWidth="1"/>
    <col min="5" max="5" width="17.5703125" style="16" customWidth="1"/>
    <col min="6" max="6" width="36.7109375" style="16" customWidth="1"/>
    <col min="7" max="7" width="9.5703125" style="16" customWidth="1"/>
    <col min="8" max="16384" width="9.140625" style="16"/>
  </cols>
  <sheetData>
    <row r="1" spans="1:6" ht="25.5" customHeight="1">
      <c r="A1" s="396" t="s">
        <v>176</v>
      </c>
      <c r="B1" s="396"/>
      <c r="C1" s="396"/>
      <c r="D1" s="396"/>
      <c r="E1" s="396"/>
      <c r="F1" s="396"/>
    </row>
    <row r="2" spans="1:6" ht="16.5" customHeight="1"/>
    <row r="3" spans="1:6" ht="45" customHeight="1">
      <c r="A3" s="397" t="s">
        <v>201</v>
      </c>
      <c r="B3" s="397" t="s">
        <v>0</v>
      </c>
      <c r="C3" s="397" t="s">
        <v>84</v>
      </c>
      <c r="D3" s="397" t="s">
        <v>467</v>
      </c>
      <c r="E3" s="397" t="s">
        <v>462</v>
      </c>
      <c r="F3" s="397" t="s">
        <v>85</v>
      </c>
    </row>
    <row r="4" spans="1:6" ht="52.5" customHeight="1">
      <c r="A4" s="398"/>
      <c r="B4" s="398"/>
      <c r="C4" s="398"/>
      <c r="D4" s="398"/>
      <c r="E4" s="398"/>
      <c r="F4" s="398"/>
    </row>
    <row r="5" spans="1:6" s="31" customFormat="1" ht="18" customHeight="1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8</v>
      </c>
    </row>
    <row r="6" spans="1:6" s="31" customFormat="1" ht="45" customHeight="1">
      <c r="A6" s="34" t="s">
        <v>161</v>
      </c>
      <c r="B6" s="30"/>
      <c r="C6" s="17"/>
      <c r="D6" s="17"/>
      <c r="E6" s="17"/>
      <c r="F6" s="17"/>
    </row>
    <row r="7" spans="1:6" ht="79.5" customHeight="1">
      <c r="A7" s="5" t="s">
        <v>236</v>
      </c>
      <c r="B7" s="4">
        <v>5000</v>
      </c>
      <c r="C7" s="36" t="s">
        <v>230</v>
      </c>
      <c r="D7" s="303">
        <v>-763.87394798455989</v>
      </c>
      <c r="E7" s="92">
        <f>'Осн. фін. пок.'!E32*100/'Осн. фін. пок.'!E30</f>
        <v>-1098.7176568783671</v>
      </c>
      <c r="F7" s="38"/>
    </row>
    <row r="8" spans="1:6" ht="80.25" customHeight="1">
      <c r="A8" s="5" t="s">
        <v>237</v>
      </c>
      <c r="B8" s="4">
        <v>5010</v>
      </c>
      <c r="C8" s="36" t="s">
        <v>230</v>
      </c>
      <c r="D8" s="303">
        <v>13.592355881794596</v>
      </c>
      <c r="E8" s="92">
        <f>'Осн. фін. пок.'!E37*100/'Осн. фін. пок.'!E30</f>
        <v>71.925032248273766</v>
      </c>
      <c r="F8" s="38"/>
    </row>
    <row r="9" spans="1:6" ht="65.25" customHeight="1">
      <c r="A9" s="39" t="s">
        <v>241</v>
      </c>
      <c r="B9" s="4">
        <v>5020</v>
      </c>
      <c r="C9" s="36" t="s">
        <v>230</v>
      </c>
      <c r="D9" s="304">
        <v>-1.2005913523489749E-3</v>
      </c>
      <c r="E9" s="118">
        <f>'Осн. фін. пок.'!E43/'Осн. фін. пок.'!E69</f>
        <v>-4.8335508147968317E-4</v>
      </c>
      <c r="F9" s="38" t="s">
        <v>231</v>
      </c>
    </row>
    <row r="10" spans="1:6" ht="60.75" customHeight="1">
      <c r="A10" s="39" t="s">
        <v>242</v>
      </c>
      <c r="B10" s="4">
        <v>5030</v>
      </c>
      <c r="C10" s="36" t="s">
        <v>230</v>
      </c>
      <c r="D10" s="304">
        <v>-7.0540211299612576E-3</v>
      </c>
      <c r="E10" s="118">
        <f>'Осн. фін. пок.'!E43/'Осн. фін. пок.'!E75</f>
        <v>-3.345352631419767E-3</v>
      </c>
      <c r="F10" s="38"/>
    </row>
    <row r="11" spans="1:6" ht="85.5" customHeight="1">
      <c r="A11" s="39" t="s">
        <v>243</v>
      </c>
      <c r="B11" s="4">
        <v>5040</v>
      </c>
      <c r="C11" s="36" t="s">
        <v>86</v>
      </c>
      <c r="D11" s="304">
        <v>-0.26419034360564447</v>
      </c>
      <c r="E11" s="118">
        <f>'Осн. фін. пок.'!E43/'Осн. фін. пок.'!E30</f>
        <v>-0.15107367782077546</v>
      </c>
      <c r="F11" s="38" t="s">
        <v>232</v>
      </c>
    </row>
    <row r="12" spans="1:6" ht="45" customHeight="1">
      <c r="A12" s="34" t="s">
        <v>163</v>
      </c>
      <c r="B12" s="4"/>
      <c r="C12" s="37"/>
      <c r="D12" s="305"/>
      <c r="E12" s="76"/>
      <c r="F12" s="38"/>
    </row>
    <row r="13" spans="1:6" ht="74.25" customHeight="1">
      <c r="A13" s="35" t="s">
        <v>223</v>
      </c>
      <c r="B13" s="4">
        <v>5100</v>
      </c>
      <c r="C13" s="36"/>
      <c r="D13" s="303">
        <v>1343.3854748603353</v>
      </c>
      <c r="E13" s="117">
        <f>('Осн. фін. пок.'!E70+'Осн. фін. пок.'!E71)/'Осн. фін. пок.'!E37</f>
        <v>371.76611456904737</v>
      </c>
      <c r="F13" s="38"/>
    </row>
    <row r="14" spans="1:6" s="31" customFormat="1" ht="117" customHeight="1">
      <c r="A14" s="35" t="s">
        <v>224</v>
      </c>
      <c r="B14" s="4">
        <v>5110</v>
      </c>
      <c r="C14" s="36" t="s">
        <v>148</v>
      </c>
      <c r="D14" s="304">
        <v>0.20510903828399857</v>
      </c>
      <c r="E14" s="118">
        <f>'Осн. фін. пок.'!E75/('Осн. фін. пок.'!E70+'Осн. фін. пок.'!E71)</f>
        <v>0.16888731490696149</v>
      </c>
      <c r="F14" s="38" t="s">
        <v>365</v>
      </c>
    </row>
    <row r="15" spans="1:6" s="31" customFormat="1" ht="117" customHeight="1">
      <c r="A15" s="35" t="s">
        <v>225</v>
      </c>
      <c r="B15" s="4">
        <v>5120</v>
      </c>
      <c r="C15" s="36" t="s">
        <v>148</v>
      </c>
      <c r="D15" s="304">
        <v>0.27447504706140025</v>
      </c>
      <c r="E15" s="118">
        <f>'Осн. фін. пок.'!E67/'Осн. фін. пок.'!E71</f>
        <v>0.26421496906813641</v>
      </c>
      <c r="F15" s="38" t="s">
        <v>234</v>
      </c>
    </row>
    <row r="16" spans="1:6" ht="20.100000000000001" customHeight="1">
      <c r="A16" s="34" t="s">
        <v>162</v>
      </c>
      <c r="B16" s="4"/>
      <c r="C16" s="36"/>
      <c r="D16" s="305"/>
      <c r="E16" s="76"/>
      <c r="F16" s="38"/>
    </row>
    <row r="17" spans="1:11" ht="56.25">
      <c r="A17" s="35" t="s">
        <v>226</v>
      </c>
      <c r="B17" s="4">
        <v>5200</v>
      </c>
      <c r="C17" s="36"/>
      <c r="D17" s="119">
        <v>55.15309188676261</v>
      </c>
      <c r="E17" s="119">
        <f>'IV. Кап. інвестиції'!E6/'I. Фін результат'!E168</f>
        <v>14.015639165911152</v>
      </c>
      <c r="F17" s="38"/>
    </row>
    <row r="18" spans="1:11" ht="76.5" customHeight="1">
      <c r="A18" s="35" t="s">
        <v>227</v>
      </c>
      <c r="B18" s="4">
        <v>5210</v>
      </c>
      <c r="C18" s="36"/>
      <c r="D18" s="119">
        <v>22.067518825539455</v>
      </c>
      <c r="E18" s="119">
        <f>'IV. Кап. інвестиції'!E6/'I. Фін результат'!E7</f>
        <v>9.384171788451324</v>
      </c>
      <c r="F18" s="38"/>
    </row>
    <row r="19" spans="1:11" ht="81.75" customHeight="1">
      <c r="A19" s="35" t="s">
        <v>238</v>
      </c>
      <c r="B19" s="4">
        <v>5220</v>
      </c>
      <c r="C19" s="36" t="s">
        <v>230</v>
      </c>
      <c r="D19" s="119">
        <v>0.60398065718642879</v>
      </c>
      <c r="E19" s="119">
        <f>242716/412100</f>
        <v>0.58897355010919683</v>
      </c>
      <c r="F19" s="38" t="s">
        <v>233</v>
      </c>
    </row>
    <row r="20" spans="1:11" ht="25.5" customHeight="1">
      <c r="A20" s="30" t="s">
        <v>218</v>
      </c>
      <c r="B20" s="4"/>
      <c r="C20" s="36"/>
      <c r="D20" s="99"/>
      <c r="E20" s="76"/>
      <c r="F20" s="38"/>
    </row>
    <row r="21" spans="1:11" ht="138.75" customHeight="1">
      <c r="A21" s="39" t="s">
        <v>239</v>
      </c>
      <c r="B21" s="4">
        <v>5300</v>
      </c>
      <c r="C21" s="36"/>
      <c r="D21" s="100"/>
      <c r="E21" s="76"/>
      <c r="F21" s="77"/>
    </row>
    <row r="22" spans="1:11" ht="20.100000000000001" customHeight="1">
      <c r="A22" s="78"/>
      <c r="B22" s="78"/>
      <c r="C22" s="78"/>
      <c r="D22" s="78"/>
      <c r="E22" s="78"/>
      <c r="F22" s="78"/>
    </row>
    <row r="23" spans="1:11" ht="20.100000000000001" customHeight="1">
      <c r="A23" s="78"/>
      <c r="B23" s="78"/>
      <c r="C23" s="78"/>
      <c r="D23" s="78"/>
      <c r="E23" s="78"/>
      <c r="F23" s="78"/>
    </row>
    <row r="24" spans="1:11" ht="20.100000000000001" customHeight="1">
      <c r="A24" s="78"/>
      <c r="B24" s="78"/>
      <c r="C24" s="78"/>
      <c r="D24" s="78"/>
      <c r="E24" s="78"/>
      <c r="F24" s="78"/>
    </row>
    <row r="25" spans="1:11" s="242" customFormat="1" ht="20.25" customHeight="1" thickBot="1">
      <c r="A25" s="62" t="s">
        <v>497</v>
      </c>
      <c r="B25" s="63"/>
      <c r="C25" s="221"/>
      <c r="D25" s="64"/>
      <c r="E25" s="285"/>
      <c r="F25" s="285" t="s">
        <v>620</v>
      </c>
      <c r="G25" s="285"/>
    </row>
    <row r="26" spans="1:11" s="1" customFormat="1" ht="21" customHeight="1">
      <c r="A26" s="216" t="s">
        <v>66</v>
      </c>
      <c r="B26" s="50"/>
      <c r="C26" s="104" t="s">
        <v>491</v>
      </c>
      <c r="D26" s="65"/>
      <c r="E26" s="284"/>
      <c r="F26" s="284" t="s">
        <v>593</v>
      </c>
      <c r="G26" s="284"/>
      <c r="K26"/>
    </row>
    <row r="27" spans="1:11">
      <c r="A27" s="78"/>
      <c r="B27" s="78"/>
      <c r="C27" s="78"/>
      <c r="D27" s="78"/>
      <c r="E27" s="78"/>
      <c r="F27" s="78"/>
    </row>
    <row r="28" spans="1:11">
      <c r="A28" s="78"/>
      <c r="B28" s="78"/>
      <c r="C28" s="78"/>
      <c r="D28" s="78"/>
      <c r="E28" s="78"/>
      <c r="F28" s="78"/>
    </row>
    <row r="29" spans="1:11">
      <c r="A29" s="78"/>
      <c r="B29" s="78"/>
      <c r="C29" s="78"/>
      <c r="D29" s="78"/>
      <c r="E29" s="78"/>
      <c r="F29" s="78"/>
    </row>
    <row r="30" spans="1:11">
      <c r="A30" s="78"/>
      <c r="B30" s="78"/>
      <c r="C30" s="78"/>
      <c r="D30" s="78"/>
      <c r="E30" s="78"/>
      <c r="F30" s="78"/>
    </row>
    <row r="31" spans="1:11">
      <c r="A31" s="78"/>
      <c r="B31" s="78"/>
      <c r="C31" s="78"/>
      <c r="D31" s="78"/>
      <c r="E31" s="78"/>
      <c r="F31" s="78"/>
    </row>
  </sheetData>
  <sheetProtection formatCells="0" formatColumns="0" formatRows="0"/>
  <mergeCells count="7">
    <mergeCell ref="A1:F1"/>
    <mergeCell ref="F3:F4"/>
    <mergeCell ref="A3:A4"/>
    <mergeCell ref="B3:B4"/>
    <mergeCell ref="C3:C4"/>
    <mergeCell ref="D3:D4"/>
    <mergeCell ref="E3:E4"/>
  </mergeCells>
  <phoneticPr fontId="4" type="noConversion"/>
  <pageMargins left="0.78740157480314965" right="0.39370078740157483" top="0.59055118110236227" bottom="0.59055118110236227" header="0.27559055118110237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Осн. фін. пок.</vt:lpstr>
      <vt:lpstr>I. Фін результат</vt:lpstr>
      <vt:lpstr>ІІ. Розр. з бюджетом</vt:lpstr>
      <vt:lpstr>ІІІ. Рух грош. коштів</vt:lpstr>
      <vt:lpstr>Лист8</vt:lpstr>
      <vt:lpstr>IV. Кап. інвестиції</vt:lpstr>
      <vt:lpstr> V. Коефіцієнти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Слива Елена Васильевна</cp:lastModifiedBy>
  <cp:lastPrinted>2022-11-28T07:21:52Z</cp:lastPrinted>
  <dcterms:created xsi:type="dcterms:W3CDTF">2003-03-13T16:00:22Z</dcterms:created>
  <dcterms:modified xsi:type="dcterms:W3CDTF">2022-11-30T07:21:08Z</dcterms:modified>
</cp:coreProperties>
</file>