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4385" yWindow="-15" windowWidth="14430" windowHeight="11730" tabRatio="579"/>
  </bookViews>
  <sheets>
    <sheet name="Осн. фін. пок." sheetId="14" r:id="rId1"/>
    <sheet name="I. Фін результат" sheetId="2" r:id="rId2"/>
    <sheet name="ІІ. Розр. з бюджетом" sheetId="19" r:id="rId3"/>
    <sheet name="ІІІ. Рух грош. коштів" sheetId="18" r:id="rId4"/>
    <sheet name="Лист8" sheetId="27" state="hidden" r:id="rId5"/>
    <sheet name="IV. Кап. інвестиції" sheetId="3" r:id="rId6"/>
    <sheet name=" V. Коефіцієнти" sheetId="11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</externalReferences>
  <definedNames>
    <definedName name="__123Graph_XGRAPH3" hidden="1">[1]GDP!#REF!</definedName>
    <definedName name="_xlnm._FilterDatabase" localSheetId="1" hidden="1">'I. Фін результат'!$A$3:$I$166</definedName>
    <definedName name="_xlnm._FilterDatabase" localSheetId="3" hidden="1">'ІІІ. Рух грош. коштів'!$A$50:$R$50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1">'I. Фін результат'!$5:$5</definedName>
    <definedName name="_xlnm.Print_Titles" localSheetId="2">'ІІ. Розр. з бюджетом'!$5:$5</definedName>
    <definedName name="_xlnm.Print_Titles" localSheetId="3">'ІІІ. Рух грош. коштів'!$5:$5</definedName>
    <definedName name="_xlnm.Print_Titles" localSheetId="0">'Осн. фін. пок.'!$28:$28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Коефіцієнти'!$A$1:$F$28</definedName>
    <definedName name="_xlnm.Print_Area" localSheetId="1">'I. Фін результат'!$A$1:$H$170</definedName>
    <definedName name="_xlnm.Print_Area" localSheetId="5">'IV. Кап. інвестиції'!$A$1:$G$19</definedName>
    <definedName name="_xlnm.Print_Area" localSheetId="2">'ІІ. Розр. з бюджетом'!$A$1:$G$52</definedName>
    <definedName name="_xlnm.Print_Area" localSheetId="3">'ІІІ. Рух грош. коштів'!$A$1:$G$151</definedName>
    <definedName name="_xlnm.Print_Area" localSheetId="0">'Осн. фін. пок.'!$A$1:$G$80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45621"/>
</workbook>
</file>

<file path=xl/calcChain.xml><?xml version="1.0" encoding="utf-8"?>
<calcChain xmlns="http://schemas.openxmlformats.org/spreadsheetml/2006/main">
  <c r="D19" i="11" l="1"/>
  <c r="E19" i="11"/>
  <c r="G132" i="18" l="1"/>
  <c r="G133" i="18"/>
  <c r="G134" i="18"/>
  <c r="G135" i="18"/>
  <c r="G136" i="18"/>
  <c r="G137" i="18"/>
  <c r="G138" i="18"/>
  <c r="G139" i="18"/>
  <c r="G140" i="18"/>
  <c r="G141" i="18"/>
  <c r="G142" i="18"/>
  <c r="G143" i="18"/>
  <c r="G144" i="18"/>
  <c r="G126" i="18"/>
  <c r="G127" i="18"/>
  <c r="G128" i="18"/>
  <c r="G129" i="18"/>
  <c r="G130" i="18"/>
  <c r="G131" i="18"/>
  <c r="G114" i="18"/>
  <c r="G115" i="18"/>
  <c r="G116" i="18"/>
  <c r="G117" i="18"/>
  <c r="G118" i="18"/>
  <c r="G119" i="18"/>
  <c r="G120" i="18"/>
  <c r="G121" i="18"/>
  <c r="G122" i="18"/>
  <c r="G123" i="18"/>
  <c r="G124" i="18"/>
  <c r="G125" i="18"/>
  <c r="G113" i="18"/>
  <c r="G105" i="18"/>
  <c r="G106" i="18"/>
  <c r="G107" i="18"/>
  <c r="G108" i="18"/>
  <c r="G109" i="18"/>
  <c r="G110" i="18"/>
  <c r="G111" i="18"/>
  <c r="G99" i="18"/>
  <c r="G100" i="18"/>
  <c r="G101" i="18"/>
  <c r="G102" i="18"/>
  <c r="G103" i="18"/>
  <c r="G104" i="18"/>
  <c r="G95" i="18"/>
  <c r="G96" i="18"/>
  <c r="G97" i="18"/>
  <c r="G98" i="18"/>
  <c r="G85" i="18"/>
  <c r="G86" i="18"/>
  <c r="G87" i="18"/>
  <c r="G88" i="18"/>
  <c r="G89" i="18"/>
  <c r="G90" i="18"/>
  <c r="G91" i="18"/>
  <c r="G92" i="18"/>
  <c r="G93" i="18"/>
  <c r="G94" i="18"/>
  <c r="G72" i="18"/>
  <c r="G73" i="18"/>
  <c r="G74" i="18"/>
  <c r="G75" i="18"/>
  <c r="G76" i="18"/>
  <c r="G77" i="18"/>
  <c r="G78" i="18"/>
  <c r="G79" i="18"/>
  <c r="G80" i="18"/>
  <c r="G81" i="18"/>
  <c r="G82" i="18"/>
  <c r="G83" i="18"/>
  <c r="G84" i="18"/>
  <c r="G68" i="18"/>
  <c r="G69" i="18"/>
  <c r="G70" i="18"/>
  <c r="G71" i="18"/>
  <c r="G49" i="18"/>
  <c r="G50" i="18"/>
  <c r="G51" i="18"/>
  <c r="G52" i="18"/>
  <c r="G53" i="18"/>
  <c r="G54" i="18"/>
  <c r="G55" i="18"/>
  <c r="G56" i="18"/>
  <c r="G57" i="18"/>
  <c r="G58" i="18"/>
  <c r="G59" i="18"/>
  <c r="G60" i="18"/>
  <c r="G61" i="18"/>
  <c r="G62" i="18"/>
  <c r="G63" i="18"/>
  <c r="G64" i="18"/>
  <c r="G65" i="18"/>
  <c r="G66" i="18"/>
  <c r="G67" i="18"/>
  <c r="G45" i="18"/>
  <c r="G46" i="18"/>
  <c r="G47" i="18"/>
  <c r="G48" i="18"/>
  <c r="G44" i="18"/>
  <c r="G43" i="18"/>
  <c r="G42" i="18"/>
  <c r="G41" i="18"/>
  <c r="G40" i="18"/>
  <c r="G39" i="18"/>
  <c r="G38" i="18"/>
  <c r="G37" i="18"/>
  <c r="G36" i="18"/>
  <c r="G35" i="18"/>
  <c r="G34" i="18"/>
  <c r="G28" i="18"/>
  <c r="G29" i="18"/>
  <c r="G31" i="18"/>
  <c r="G24" i="18"/>
  <c r="G26" i="18"/>
  <c r="G27" i="18"/>
  <c r="G13" i="18"/>
  <c r="G14" i="18"/>
  <c r="G15" i="18"/>
  <c r="G18" i="18"/>
  <c r="G19" i="18"/>
  <c r="F18" i="19"/>
  <c r="F19" i="19"/>
  <c r="G105" i="2"/>
  <c r="G125" i="2"/>
  <c r="G126" i="2"/>
  <c r="G117" i="2"/>
  <c r="G118" i="2"/>
  <c r="G119" i="2"/>
  <c r="G120" i="2"/>
  <c r="G121" i="2"/>
  <c r="G122" i="2"/>
  <c r="G123" i="2"/>
  <c r="G124" i="2"/>
  <c r="G25" i="2"/>
  <c r="G26" i="2"/>
  <c r="G27" i="2"/>
  <c r="G28" i="2"/>
  <c r="G29" i="2"/>
  <c r="C71" i="14"/>
  <c r="C72" i="14" s="1"/>
  <c r="C6" i="3"/>
  <c r="C125" i="18"/>
  <c r="C124" i="18"/>
  <c r="C123" i="18"/>
  <c r="C79" i="18"/>
  <c r="C78" i="18"/>
  <c r="C27" i="18"/>
  <c r="C26" i="18"/>
  <c r="C39" i="19"/>
  <c r="C36" i="19"/>
  <c r="C20" i="19"/>
  <c r="C155" i="2"/>
  <c r="C154" i="2"/>
  <c r="C98" i="2"/>
  <c r="C93" i="2" s="1"/>
  <c r="C121" i="2"/>
  <c r="C120" i="2"/>
  <c r="C118" i="2"/>
  <c r="C100" i="2"/>
  <c r="C85" i="2" l="1"/>
  <c r="C77" i="2"/>
  <c r="C72" i="2"/>
  <c r="C66" i="2"/>
  <c r="C65" i="2" s="1"/>
  <c r="C54" i="2"/>
  <c r="C51" i="2"/>
  <c r="C50" i="2"/>
  <c r="C49" i="2"/>
  <c r="C46" i="2"/>
  <c r="C42" i="2"/>
  <c r="C41" i="2"/>
  <c r="C40" i="2" s="1"/>
  <c r="C22" i="2"/>
  <c r="C35" i="2"/>
  <c r="C33" i="2"/>
  <c r="C30" i="2" s="1"/>
  <c r="C20" i="2"/>
  <c r="C18" i="2" s="1"/>
  <c r="C14" i="2"/>
  <c r="C13" i="2"/>
  <c r="C11" i="2"/>
  <c r="C9" i="2"/>
  <c r="C8" i="2"/>
  <c r="E85" i="2" l="1"/>
  <c r="E70" i="2"/>
  <c r="E19" i="18" l="1"/>
  <c r="E25" i="18"/>
  <c r="G25" i="18" s="1"/>
  <c r="E27" i="18"/>
  <c r="E29" i="18"/>
  <c r="E22" i="18"/>
  <c r="G22" i="18" s="1"/>
  <c r="E109" i="18" l="1"/>
  <c r="E102" i="18" l="1"/>
  <c r="E95" i="18"/>
  <c r="E93" i="18" l="1"/>
  <c r="E91" i="18"/>
  <c r="E17" i="18"/>
  <c r="G17" i="18" s="1"/>
  <c r="E90" i="18" l="1"/>
  <c r="E105" i="18"/>
  <c r="E108" i="18"/>
  <c r="F108" i="18" s="1"/>
  <c r="E79" i="18"/>
  <c r="E78" i="18"/>
  <c r="E26" i="18"/>
  <c r="E23" i="18"/>
  <c r="G23" i="18" s="1"/>
  <c r="E21" i="18"/>
  <c r="G21" i="18" s="1"/>
  <c r="E160" i="2"/>
  <c r="E161" i="2"/>
  <c r="E116" i="2"/>
  <c r="E117" i="2"/>
  <c r="E163" i="2" s="1"/>
  <c r="E162" i="2"/>
  <c r="E123" i="2"/>
  <c r="E120" i="2"/>
  <c r="E121" i="2"/>
  <c r="E124" i="2"/>
  <c r="E105" i="2"/>
  <c r="E104" i="2"/>
  <c r="E118" i="2"/>
  <c r="E164" i="2" l="1"/>
  <c r="E15" i="18"/>
  <c r="E13" i="18"/>
  <c r="E36" i="19"/>
  <c r="E112" i="2"/>
  <c r="E100" i="2"/>
  <c r="E51" i="2"/>
  <c r="E63" i="2"/>
  <c r="E52" i="2"/>
  <c r="E72" i="2"/>
  <c r="E165" i="2" s="1"/>
  <c r="E55" i="2"/>
  <c r="E54" i="2"/>
  <c r="E53" i="2"/>
  <c r="E66" i="2"/>
  <c r="E46" i="2"/>
  <c r="E50" i="2" l="1"/>
  <c r="E36" i="2"/>
  <c r="F37" i="2"/>
  <c r="G37" i="2"/>
  <c r="E33" i="2"/>
  <c r="E20" i="2"/>
  <c r="E15" i="2"/>
  <c r="E14" i="2"/>
  <c r="E12" i="2"/>
  <c r="E11" i="2"/>
  <c r="E16" i="2" l="1"/>
  <c r="E18" i="2"/>
  <c r="E13" i="2" l="1"/>
  <c r="F22" i="18" l="1"/>
  <c r="D18" i="2" l="1"/>
  <c r="E104" i="18" l="1"/>
  <c r="E88" i="18"/>
  <c r="E50" i="18" l="1"/>
  <c r="E77" i="18"/>
  <c r="E96" i="18"/>
  <c r="E87" i="18"/>
  <c r="E44" i="18"/>
  <c r="E42" i="18" s="1"/>
  <c r="E85" i="18" l="1"/>
  <c r="F25" i="18" l="1"/>
  <c r="F18" i="18"/>
  <c r="F19" i="18"/>
  <c r="F13" i="18"/>
  <c r="C39" i="14" l="1"/>
  <c r="E42" i="14"/>
  <c r="C42" i="14"/>
  <c r="C87" i="18"/>
  <c r="C85" i="18" s="1"/>
  <c r="D87" i="18"/>
  <c r="C12" i="18" l="1"/>
  <c r="C28" i="19" l="1"/>
  <c r="C45" i="19" s="1"/>
  <c r="C135" i="2"/>
  <c r="C39" i="2" l="1"/>
  <c r="E16" i="19" l="1"/>
  <c r="F126" i="2"/>
  <c r="F125" i="2"/>
  <c r="E98" i="2"/>
  <c r="F124" i="2"/>
  <c r="F123" i="2"/>
  <c r="F122" i="2"/>
  <c r="E44" i="19" l="1"/>
  <c r="E24" i="2"/>
  <c r="D6" i="3" l="1"/>
  <c r="D44" i="18"/>
  <c r="D163" i="2"/>
  <c r="D162" i="2"/>
  <c r="D132" i="2"/>
  <c r="D40" i="14" s="1"/>
  <c r="D98" i="2"/>
  <c r="D72" i="2"/>
  <c r="D65" i="2"/>
  <c r="D40" i="2"/>
  <c r="D30" i="2"/>
  <c r="D24" i="2"/>
  <c r="D42" i="18" l="1"/>
  <c r="D22" i="2"/>
  <c r="D39" i="2"/>
  <c r="F69" i="18" l="1"/>
  <c r="F68" i="18"/>
  <c r="E30" i="2" l="1"/>
  <c r="E22" i="2" s="1"/>
  <c r="D96" i="18" l="1"/>
  <c r="F87" i="18"/>
  <c r="F88" i="18"/>
  <c r="F89" i="18"/>
  <c r="F90" i="18"/>
  <c r="F95" i="18"/>
  <c r="F97" i="18"/>
  <c r="F98" i="18"/>
  <c r="F99" i="18"/>
  <c r="F100" i="18"/>
  <c r="F101" i="18"/>
  <c r="F102" i="18"/>
  <c r="F103" i="18"/>
  <c r="F104" i="18"/>
  <c r="F105" i="18"/>
  <c r="F106" i="18"/>
  <c r="F107" i="18"/>
  <c r="F109" i="18"/>
  <c r="F110" i="18"/>
  <c r="F113" i="18"/>
  <c r="F114" i="18"/>
  <c r="F115" i="18"/>
  <c r="F116" i="18"/>
  <c r="F117" i="18"/>
  <c r="F118" i="18"/>
  <c r="F119" i="18"/>
  <c r="F120" i="18"/>
  <c r="F121" i="18"/>
  <c r="F122" i="18"/>
  <c r="D123" i="18"/>
  <c r="E123" i="18"/>
  <c r="F125" i="18"/>
  <c r="D24" i="19"/>
  <c r="D23" i="19"/>
  <c r="E9" i="18"/>
  <c r="D22" i="19" l="1"/>
  <c r="F124" i="18"/>
  <c r="D7" i="2" l="1"/>
  <c r="F11" i="2" l="1"/>
  <c r="G11" i="2"/>
  <c r="F12" i="2"/>
  <c r="G12" i="2"/>
  <c r="F13" i="2"/>
  <c r="G13" i="2"/>
  <c r="F14" i="2"/>
  <c r="F15" i="2"/>
  <c r="G15" i="2"/>
  <c r="F16" i="2"/>
  <c r="G16" i="2"/>
  <c r="F17" i="2"/>
  <c r="G17" i="2"/>
  <c r="G14" i="2" l="1"/>
  <c r="E10" i="2" l="1"/>
  <c r="D43" i="19" l="1"/>
  <c r="D32" i="19"/>
  <c r="D10" i="2"/>
  <c r="D21" i="2" s="1"/>
  <c r="D93" i="2"/>
  <c r="D127" i="2" l="1"/>
  <c r="D138" i="2" s="1"/>
  <c r="D28" i="19"/>
  <c r="D139" i="2" l="1"/>
  <c r="D42" i="14" s="1"/>
  <c r="D7" i="18"/>
  <c r="D141" i="2" l="1"/>
  <c r="D25" i="19"/>
  <c r="E6" i="3"/>
  <c r="D20" i="19" l="1"/>
  <c r="D143" i="2"/>
  <c r="C146" i="2"/>
  <c r="F121" i="2"/>
  <c r="F120" i="2"/>
  <c r="F107" i="2"/>
  <c r="G107" i="2"/>
  <c r="D160" i="2" l="1"/>
  <c r="D161" i="2"/>
  <c r="E65" i="2"/>
  <c r="C7" i="2"/>
  <c r="F80" i="18" l="1"/>
  <c r="F79" i="18"/>
  <c r="F78" i="18"/>
  <c r="D77" i="18"/>
  <c r="C77" i="18"/>
  <c r="E81" i="18"/>
  <c r="E111" i="18" s="1"/>
  <c r="F83" i="18"/>
  <c r="F77" i="18" l="1"/>
  <c r="C141" i="18" l="1"/>
  <c r="C31" i="18" l="1"/>
  <c r="C30" i="14"/>
  <c r="C34" i="14"/>
  <c r="C46" i="14"/>
  <c r="C47" i="14"/>
  <c r="C48" i="14"/>
  <c r="C49" i="14"/>
  <c r="C50" i="14"/>
  <c r="C53" i="14"/>
  <c r="C57" i="14"/>
  <c r="C51" i="14" l="1"/>
  <c r="E40" i="2" l="1"/>
  <c r="C56" i="14" l="1"/>
  <c r="C50" i="18" l="1"/>
  <c r="F59" i="18"/>
  <c r="F60" i="18"/>
  <c r="F61" i="18"/>
  <c r="F62" i="18"/>
  <c r="F63" i="18"/>
  <c r="F64" i="18"/>
  <c r="F65" i="18"/>
  <c r="F66" i="18"/>
  <c r="F67" i="18"/>
  <c r="F70" i="18"/>
  <c r="F71" i="18"/>
  <c r="C44" i="18" l="1"/>
  <c r="C42" i="18" s="1"/>
  <c r="C111" i="18" s="1"/>
  <c r="C55" i="14" l="1"/>
  <c r="E135" i="2" l="1"/>
  <c r="E39" i="2"/>
  <c r="E159" i="2" l="1"/>
  <c r="E7" i="2" l="1"/>
  <c r="E21" i="2" l="1"/>
  <c r="C132" i="2"/>
  <c r="C40" i="14" s="1"/>
  <c r="C10" i="2"/>
  <c r="C31" i="14" s="1"/>
  <c r="C32" i="14" s="1"/>
  <c r="C148" i="2" l="1"/>
  <c r="C149" i="2"/>
  <c r="C21" i="2"/>
  <c r="E69" i="14" l="1"/>
  <c r="D69" i="14"/>
  <c r="D71" i="14" s="1"/>
  <c r="E71" i="14" l="1"/>
  <c r="E72" i="14" s="1"/>
  <c r="E64" i="14" s="1"/>
  <c r="E57" i="14" l="1"/>
  <c r="D57" i="14"/>
  <c r="E53" i="14"/>
  <c r="D53" i="14"/>
  <c r="E46" i="14"/>
  <c r="E47" i="14"/>
  <c r="D47" i="14"/>
  <c r="D46" i="14"/>
  <c r="D49" i="14"/>
  <c r="D48" i="14"/>
  <c r="E15" i="11"/>
  <c r="E14" i="11"/>
  <c r="D72" i="14" l="1"/>
  <c r="D64" i="14" s="1"/>
  <c r="D7" i="11" l="1"/>
  <c r="D60" i="14" l="1"/>
  <c r="E141" i="18"/>
  <c r="D141" i="18"/>
  <c r="D50" i="18"/>
  <c r="E31" i="18"/>
  <c r="C60" i="14" l="1"/>
  <c r="D18" i="11"/>
  <c r="E55" i="14"/>
  <c r="D56" i="14"/>
  <c r="E56" i="14"/>
  <c r="E60" i="14" l="1"/>
  <c r="E17" i="11"/>
  <c r="E50" i="14"/>
  <c r="E48" i="14"/>
  <c r="E39" i="19" l="1"/>
  <c r="E28" i="19" l="1"/>
  <c r="E45" i="19" l="1"/>
  <c r="E49" i="14"/>
  <c r="E51" i="14" s="1"/>
  <c r="E132" i="2"/>
  <c r="E149" i="2" s="1"/>
  <c r="E86" i="2"/>
  <c r="E40" i="14" l="1"/>
  <c r="E148" i="2"/>
  <c r="E93" i="2"/>
  <c r="E150" i="2" s="1"/>
  <c r="E33" i="14"/>
  <c r="E30" i="14"/>
  <c r="E18" i="11"/>
  <c r="F60" i="14"/>
  <c r="E166" i="2" l="1"/>
  <c r="E35" i="14"/>
  <c r="F7" i="3" l="1"/>
  <c r="G7" i="3"/>
  <c r="F8" i="3"/>
  <c r="G8" i="3"/>
  <c r="F9" i="3"/>
  <c r="G9" i="3"/>
  <c r="F10" i="3"/>
  <c r="F11" i="3"/>
  <c r="G11" i="3"/>
  <c r="G6" i="3"/>
  <c r="F6" i="3"/>
  <c r="F10" i="18"/>
  <c r="F11" i="18"/>
  <c r="F14" i="18"/>
  <c r="F15" i="18"/>
  <c r="F17" i="18"/>
  <c r="F21" i="18"/>
  <c r="F26" i="18"/>
  <c r="F34" i="18"/>
  <c r="F35" i="18"/>
  <c r="F36" i="18"/>
  <c r="F37" i="18"/>
  <c r="F38" i="18"/>
  <c r="F39" i="18"/>
  <c r="F40" i="18"/>
  <c r="F41" i="18"/>
  <c r="F42" i="18"/>
  <c r="F49" i="18"/>
  <c r="F50" i="18"/>
  <c r="F51" i="18"/>
  <c r="F52" i="18"/>
  <c r="F53" i="18"/>
  <c r="F54" i="18"/>
  <c r="F55" i="18"/>
  <c r="F56" i="18"/>
  <c r="F57" i="18"/>
  <c r="F58" i="18"/>
  <c r="F73" i="18"/>
  <c r="F74" i="18"/>
  <c r="F75" i="18"/>
  <c r="F76" i="18"/>
  <c r="F81" i="18"/>
  <c r="F82" i="18"/>
  <c r="F84" i="18"/>
  <c r="F86" i="18"/>
  <c r="F126" i="18"/>
  <c r="F127" i="18"/>
  <c r="F128" i="18"/>
  <c r="F129" i="18"/>
  <c r="F130" i="18"/>
  <c r="F131" i="18"/>
  <c r="F132" i="18"/>
  <c r="F133" i="18"/>
  <c r="F134" i="18"/>
  <c r="F135" i="18"/>
  <c r="F136" i="18"/>
  <c r="F137" i="18"/>
  <c r="F138" i="18"/>
  <c r="F139" i="18"/>
  <c r="F140" i="18"/>
  <c r="F141" i="18"/>
  <c r="F142" i="18"/>
  <c r="F143" i="18"/>
  <c r="F144" i="18"/>
  <c r="F123" i="18" l="1"/>
  <c r="F8" i="19"/>
  <c r="G8" i="19"/>
  <c r="F9" i="19"/>
  <c r="G9" i="19"/>
  <c r="F10" i="19"/>
  <c r="G10" i="19"/>
  <c r="F11" i="19"/>
  <c r="F12" i="19"/>
  <c r="F13" i="19"/>
  <c r="F14" i="19"/>
  <c r="F15" i="19"/>
  <c r="F16" i="19"/>
  <c r="F17" i="19"/>
  <c r="F22" i="19"/>
  <c r="G22" i="19"/>
  <c r="F23" i="19"/>
  <c r="G23" i="19"/>
  <c r="F24" i="19"/>
  <c r="G24" i="19"/>
  <c r="F25" i="19"/>
  <c r="G25" i="19"/>
  <c r="F26" i="19"/>
  <c r="F27" i="19"/>
  <c r="G27" i="19"/>
  <c r="F28" i="19"/>
  <c r="G28" i="19"/>
  <c r="F29" i="19"/>
  <c r="F30" i="19"/>
  <c r="F31" i="19"/>
  <c r="F32" i="19"/>
  <c r="G32" i="19"/>
  <c r="F33" i="19"/>
  <c r="F34" i="19"/>
  <c r="F35" i="19"/>
  <c r="F36" i="19"/>
  <c r="G36" i="19"/>
  <c r="F37" i="19"/>
  <c r="G37" i="19"/>
  <c r="F38" i="19"/>
  <c r="F39" i="19"/>
  <c r="G39" i="19"/>
  <c r="F40" i="19"/>
  <c r="G40" i="19"/>
  <c r="F41" i="19"/>
  <c r="F42" i="19"/>
  <c r="G42" i="19"/>
  <c r="F43" i="19"/>
  <c r="G43" i="19"/>
  <c r="G7" i="19"/>
  <c r="F7" i="19"/>
  <c r="E153" i="2" l="1"/>
  <c r="E154" i="2"/>
  <c r="E155" i="2"/>
  <c r="E147" i="2"/>
  <c r="E39" i="14" s="1"/>
  <c r="E146" i="2"/>
  <c r="D9" i="18"/>
  <c r="G9" i="18" s="1"/>
  <c r="D44" i="19"/>
  <c r="D155" i="2"/>
  <c r="D154" i="2"/>
  <c r="D147" i="2"/>
  <c r="D39" i="14" s="1"/>
  <c r="D35" i="14"/>
  <c r="D34" i="14"/>
  <c r="D33" i="14"/>
  <c r="D31" i="14"/>
  <c r="D30" i="14"/>
  <c r="D45" i="19" l="1"/>
  <c r="D50" i="14"/>
  <c r="D51" i="14" s="1"/>
  <c r="G44" i="19"/>
  <c r="F44" i="19"/>
  <c r="F147" i="2"/>
  <c r="D148" i="2"/>
  <c r="F148" i="2" s="1"/>
  <c r="F9" i="18"/>
  <c r="D153" i="2"/>
  <c r="D159" i="2"/>
  <c r="D32" i="14"/>
  <c r="D36" i="14" s="1"/>
  <c r="D146" i="2"/>
  <c r="F146" i="2" s="1"/>
  <c r="D149" i="2"/>
  <c r="G45" i="19" l="1"/>
  <c r="F45" i="19"/>
  <c r="D41" i="14"/>
  <c r="D152" i="2"/>
  <c r="D20" i="18"/>
  <c r="D30" i="18" s="1"/>
  <c r="D157" i="2" l="1"/>
  <c r="D37" i="14" s="1"/>
  <c r="D38" i="14" s="1"/>
  <c r="D150" i="2" l="1"/>
  <c r="D165" i="2" s="1"/>
  <c r="D166" i="2" s="1"/>
  <c r="D31" i="18"/>
  <c r="D43" i="14" l="1"/>
  <c r="F31" i="18"/>
  <c r="D32" i="18"/>
  <c r="D142" i="2"/>
  <c r="D54" i="14" l="1"/>
  <c r="D62" i="14"/>
  <c r="D63" i="14"/>
  <c r="D44" i="14"/>
  <c r="F39" i="2"/>
  <c r="F31" i="2"/>
  <c r="G31" i="2"/>
  <c r="F32" i="2"/>
  <c r="G32" i="2"/>
  <c r="F33" i="2"/>
  <c r="G33" i="2"/>
  <c r="F34" i="2"/>
  <c r="G34" i="2"/>
  <c r="F35" i="2"/>
  <c r="G35" i="2"/>
  <c r="F36" i="2"/>
  <c r="G36" i="2"/>
  <c r="F38" i="2"/>
  <c r="G38" i="2"/>
  <c r="F40" i="2"/>
  <c r="G40" i="2"/>
  <c r="F41" i="2"/>
  <c r="G41" i="2"/>
  <c r="F42" i="2"/>
  <c r="G42" i="2"/>
  <c r="F43" i="2"/>
  <c r="G43" i="2"/>
  <c r="F44" i="2"/>
  <c r="G44" i="2"/>
  <c r="F45" i="2"/>
  <c r="F46" i="2"/>
  <c r="G46" i="2"/>
  <c r="F47" i="2"/>
  <c r="F48" i="2"/>
  <c r="F49" i="2"/>
  <c r="G53" i="2"/>
  <c r="G54" i="2"/>
  <c r="G55" i="2"/>
  <c r="G59" i="2"/>
  <c r="G60" i="2"/>
  <c r="G61" i="2"/>
  <c r="G63" i="2"/>
  <c r="G64" i="2"/>
  <c r="F65" i="2"/>
  <c r="F66" i="2"/>
  <c r="G66" i="2"/>
  <c r="F67" i="2"/>
  <c r="G67" i="2"/>
  <c r="F68" i="2"/>
  <c r="G68" i="2"/>
  <c r="F69" i="2"/>
  <c r="G69" i="2"/>
  <c r="F70" i="2"/>
  <c r="F71" i="2"/>
  <c r="F72" i="2"/>
  <c r="F73" i="2"/>
  <c r="G73" i="2"/>
  <c r="F74" i="2"/>
  <c r="G74" i="2"/>
  <c r="F75" i="2"/>
  <c r="G75" i="2"/>
  <c r="F76" i="2"/>
  <c r="G76" i="2"/>
  <c r="F77" i="2"/>
  <c r="G77" i="2"/>
  <c r="F78" i="2"/>
  <c r="F79" i="2"/>
  <c r="G79" i="2"/>
  <c r="F80" i="2"/>
  <c r="F81" i="2"/>
  <c r="G81" i="2"/>
  <c r="F82" i="2"/>
  <c r="F83" i="2"/>
  <c r="F84" i="2"/>
  <c r="F85" i="2"/>
  <c r="G85" i="2"/>
  <c r="F87" i="2"/>
  <c r="F88" i="2"/>
  <c r="F89" i="2"/>
  <c r="F90" i="2"/>
  <c r="F91" i="2"/>
  <c r="F92" i="2"/>
  <c r="F93" i="2"/>
  <c r="F94" i="2"/>
  <c r="F95" i="2"/>
  <c r="F96" i="2"/>
  <c r="F97" i="2"/>
  <c r="F98" i="2"/>
  <c r="G98" i="2"/>
  <c r="F99" i="2"/>
  <c r="F100" i="2"/>
  <c r="F101" i="2"/>
  <c r="G101" i="2"/>
  <c r="F102" i="2"/>
  <c r="G102" i="2"/>
  <c r="F104" i="2"/>
  <c r="G104" i="2"/>
  <c r="F106" i="2"/>
  <c r="G106" i="2"/>
  <c r="F108" i="2"/>
  <c r="G108" i="2"/>
  <c r="F109" i="2"/>
  <c r="G109" i="2"/>
  <c r="F110" i="2"/>
  <c r="G110" i="2"/>
  <c r="F111" i="2"/>
  <c r="G111" i="2"/>
  <c r="F112" i="2"/>
  <c r="F113" i="2"/>
  <c r="F114" i="2"/>
  <c r="G114" i="2"/>
  <c r="F115" i="2"/>
  <c r="G115" i="2"/>
  <c r="F116" i="2"/>
  <c r="G116" i="2"/>
  <c r="F117" i="2"/>
  <c r="F118" i="2"/>
  <c r="F119" i="2"/>
  <c r="F128" i="2"/>
  <c r="F129" i="2"/>
  <c r="F130" i="2"/>
  <c r="F131" i="2"/>
  <c r="F132" i="2"/>
  <c r="G132" i="2"/>
  <c r="F133" i="2"/>
  <c r="G133" i="2"/>
  <c r="F134" i="2"/>
  <c r="F135" i="2"/>
  <c r="F136" i="2"/>
  <c r="F137" i="2"/>
  <c r="F139" i="2"/>
  <c r="G139" i="2"/>
  <c r="F140" i="2"/>
  <c r="F144" i="2"/>
  <c r="F153" i="2"/>
  <c r="G153" i="2"/>
  <c r="F154" i="2"/>
  <c r="G154" i="2"/>
  <c r="F155" i="2"/>
  <c r="F156" i="2"/>
  <c r="G156" i="2"/>
  <c r="F159" i="2"/>
  <c r="G159" i="2"/>
  <c r="F160" i="2"/>
  <c r="G160" i="2"/>
  <c r="F161" i="2"/>
  <c r="G161" i="2"/>
  <c r="F162" i="2"/>
  <c r="G162" i="2"/>
  <c r="F163" i="2"/>
  <c r="F164" i="2"/>
  <c r="G164" i="2"/>
  <c r="G30" i="2"/>
  <c r="F30" i="2"/>
  <c r="F29" i="2"/>
  <c r="F28" i="2"/>
  <c r="F27" i="2"/>
  <c r="G24" i="2"/>
  <c r="F24" i="2"/>
  <c r="G23" i="2"/>
  <c r="F23" i="2"/>
  <c r="G22" i="2"/>
  <c r="F22" i="2"/>
  <c r="F20" i="2"/>
  <c r="G19" i="2"/>
  <c r="F19" i="2"/>
  <c r="G18" i="2"/>
  <c r="F18" i="2"/>
  <c r="F9" i="2"/>
  <c r="G8" i="2"/>
  <c r="F8" i="2"/>
  <c r="C153" i="2"/>
  <c r="G64" i="14"/>
  <c r="F64" i="14"/>
  <c r="G75" i="14"/>
  <c r="F75" i="14"/>
  <c r="F74" i="14"/>
  <c r="F73" i="14"/>
  <c r="G72" i="14"/>
  <c r="F72" i="14"/>
  <c r="G71" i="14"/>
  <c r="F71" i="14"/>
  <c r="F70" i="14"/>
  <c r="G69" i="14"/>
  <c r="F69" i="14"/>
  <c r="G67" i="14"/>
  <c r="F67" i="14"/>
  <c r="G66" i="14"/>
  <c r="F66" i="14"/>
  <c r="C69" i="14"/>
  <c r="D15" i="11" l="1"/>
  <c r="D14" i="11"/>
  <c r="C33" i="14"/>
  <c r="C127" i="2"/>
  <c r="C138" i="2" s="1"/>
  <c r="C35" i="14"/>
  <c r="C150" i="2"/>
  <c r="G7" i="2"/>
  <c r="G39" i="2"/>
  <c r="F7" i="2"/>
  <c r="G60" i="14"/>
  <c r="F57" i="14"/>
  <c r="G56" i="14"/>
  <c r="F56" i="14"/>
  <c r="G53" i="14"/>
  <c r="F53" i="14"/>
  <c r="G51" i="14"/>
  <c r="F51" i="14"/>
  <c r="G50" i="14"/>
  <c r="F50" i="14"/>
  <c r="G49" i="14"/>
  <c r="F49" i="14"/>
  <c r="G48" i="14"/>
  <c r="F48" i="14"/>
  <c r="G47" i="14"/>
  <c r="F47" i="14"/>
  <c r="G46" i="14"/>
  <c r="F46" i="14"/>
  <c r="G42" i="14"/>
  <c r="F42" i="14"/>
  <c r="G40" i="14"/>
  <c r="F40" i="14"/>
  <c r="F39" i="14"/>
  <c r="G35" i="14"/>
  <c r="F35" i="14"/>
  <c r="G33" i="14"/>
  <c r="F33" i="14"/>
  <c r="G30" i="14"/>
  <c r="F30" i="14"/>
  <c r="C166" i="2" l="1"/>
  <c r="C36" i="14"/>
  <c r="C41" i="14" s="1"/>
  <c r="C152" i="2"/>
  <c r="C157" i="2" s="1"/>
  <c r="F149" i="2"/>
  <c r="G149" i="2"/>
  <c r="C37" i="14" l="1"/>
  <c r="C141" i="2"/>
  <c r="C20" i="18"/>
  <c r="C142" i="2" l="1"/>
  <c r="C143" i="2"/>
  <c r="C30" i="18"/>
  <c r="C32" i="18" s="1"/>
  <c r="C43" i="14"/>
  <c r="C44" i="14" s="1"/>
  <c r="D8" i="11"/>
  <c r="C38" i="14"/>
  <c r="D13" i="11"/>
  <c r="D10" i="11" l="1"/>
  <c r="C145" i="18"/>
  <c r="C54" i="14"/>
  <c r="C146" i="18"/>
  <c r="D9" i="11"/>
  <c r="D11" i="11"/>
  <c r="C58" i="14" l="1"/>
  <c r="C68" i="14"/>
  <c r="G10" i="2" l="1"/>
  <c r="F10" i="2"/>
  <c r="E31" i="14"/>
  <c r="F21" i="2" l="1"/>
  <c r="E127" i="2"/>
  <c r="F31" i="14"/>
  <c r="E32" i="14"/>
  <c r="G21" i="2"/>
  <c r="G31" i="14"/>
  <c r="F86" i="2"/>
  <c r="E34" i="14"/>
  <c r="F34" i="14" s="1"/>
  <c r="E7" i="11" l="1"/>
  <c r="E36" i="14"/>
  <c r="G150" i="2"/>
  <c r="F32" i="14"/>
  <c r="G32" i="14"/>
  <c r="E138" i="2"/>
  <c r="E7" i="18" s="1"/>
  <c r="E152" i="2"/>
  <c r="E157" i="2" s="1"/>
  <c r="G127" i="2"/>
  <c r="F127" i="2"/>
  <c r="F150" i="2"/>
  <c r="E41" i="14" l="1"/>
  <c r="G36" i="14"/>
  <c r="F36" i="14"/>
  <c r="E37" i="14"/>
  <c r="F7" i="18"/>
  <c r="G7" i="18"/>
  <c r="E141" i="2"/>
  <c r="F138" i="2"/>
  <c r="G138" i="2"/>
  <c r="G152" i="2"/>
  <c r="F152" i="2"/>
  <c r="F165" i="2"/>
  <c r="G165" i="2"/>
  <c r="E16" i="18" l="1"/>
  <c r="E143" i="2"/>
  <c r="F143" i="2" s="1"/>
  <c r="E142" i="2"/>
  <c r="E20" i="19"/>
  <c r="G41" i="14"/>
  <c r="F41" i="14"/>
  <c r="E13" i="11"/>
  <c r="E38" i="14"/>
  <c r="E8" i="11"/>
  <c r="G37" i="14"/>
  <c r="F37" i="14"/>
  <c r="F141" i="2"/>
  <c r="E43" i="14"/>
  <c r="G157" i="2"/>
  <c r="F157" i="2"/>
  <c r="F166" i="2"/>
  <c r="G166" i="2"/>
  <c r="E12" i="18" l="1"/>
  <c r="G16" i="18"/>
  <c r="F12" i="18"/>
  <c r="G12" i="18"/>
  <c r="E20" i="18"/>
  <c r="G20" i="18" s="1"/>
  <c r="G142" i="2"/>
  <c r="F142" i="2"/>
  <c r="F20" i="19"/>
  <c r="G20" i="19"/>
  <c r="G38" i="14"/>
  <c r="F38" i="14"/>
  <c r="E10" i="11"/>
  <c r="E63" i="14"/>
  <c r="F63" i="14" s="1"/>
  <c r="E62" i="14"/>
  <c r="F62" i="14" s="1"/>
  <c r="E9" i="11"/>
  <c r="E44" i="14"/>
  <c r="E11" i="11"/>
  <c r="G43" i="14"/>
  <c r="F43" i="14"/>
  <c r="E30" i="18" l="1"/>
  <c r="G30" i="18" s="1"/>
  <c r="F20" i="18"/>
  <c r="G44" i="14"/>
  <c r="F44" i="14"/>
  <c r="F30" i="18" l="1"/>
  <c r="E32" i="18"/>
  <c r="G32" i="18" s="1"/>
  <c r="F96" i="18"/>
  <c r="D85" i="18"/>
  <c r="D111" i="18" s="1"/>
  <c r="F32" i="18" l="1"/>
  <c r="E145" i="18"/>
  <c r="G145" i="18" s="1"/>
  <c r="E146" i="18"/>
  <c r="G146" i="18" s="1"/>
  <c r="E54" i="14"/>
  <c r="F111" i="18"/>
  <c r="D146" i="18"/>
  <c r="D55" i="14"/>
  <c r="D145" i="18"/>
  <c r="F85" i="18"/>
  <c r="E58" i="14" l="1"/>
  <c r="E68" i="14"/>
  <c r="G54" i="14"/>
  <c r="F54" i="14"/>
  <c r="F146" i="18"/>
  <c r="G55" i="14"/>
  <c r="F55" i="14"/>
  <c r="F145" i="18"/>
  <c r="D68" i="14"/>
  <c r="D58" i="14"/>
  <c r="F58" i="14" l="1"/>
  <c r="G58" i="14"/>
  <c r="F68" i="14"/>
  <c r="G68" i="14"/>
</calcChain>
</file>

<file path=xl/comments1.xml><?xml version="1.0" encoding="utf-8"?>
<comments xmlns="http://schemas.openxmlformats.org/spreadsheetml/2006/main">
  <authors>
    <author>Слива Елена Васильевна</author>
  </authors>
  <commentList>
    <comment ref="E19" authorId="0">
      <text>
        <r>
          <rPr>
            <b/>
            <sz val="9"/>
            <color indexed="81"/>
            <rFont val="Tahoma"/>
            <family val="2"/>
            <charset val="204"/>
          </rPr>
          <t>Слива Елена Васильевна:</t>
        </r>
        <r>
          <rPr>
            <sz val="9"/>
            <color indexed="81"/>
            <rFont val="Tahoma"/>
            <family val="2"/>
            <charset val="204"/>
          </rPr>
          <t xml:space="preserve">
+2 округление</t>
        </r>
      </text>
    </comment>
    <comment ref="E27" authorId="0">
      <text>
        <r>
          <rPr>
            <b/>
            <sz val="9"/>
            <color indexed="81"/>
            <rFont val="Tahoma"/>
            <family val="2"/>
            <charset val="204"/>
          </rPr>
          <t>Слива Елена Васильевна:</t>
        </r>
        <r>
          <rPr>
            <sz val="9"/>
            <color indexed="81"/>
            <rFont val="Tahoma"/>
            <family val="2"/>
            <charset val="204"/>
          </rPr>
          <t xml:space="preserve">
+1 округление</t>
        </r>
      </text>
    </comment>
    <comment ref="E29" authorId="0">
      <text>
        <r>
          <rPr>
            <b/>
            <sz val="9"/>
            <color indexed="81"/>
            <rFont val="Tahoma"/>
            <family val="2"/>
            <charset val="204"/>
          </rPr>
          <t>Слива Елена Васильевна:</t>
        </r>
        <r>
          <rPr>
            <sz val="9"/>
            <color indexed="81"/>
            <rFont val="Tahoma"/>
            <family val="2"/>
            <charset val="204"/>
          </rPr>
          <t xml:space="preserve">
+1 округление</t>
        </r>
      </text>
    </comment>
  </commentList>
</comments>
</file>

<file path=xl/sharedStrings.xml><?xml version="1.0" encoding="utf-8"?>
<sst xmlns="http://schemas.openxmlformats.org/spreadsheetml/2006/main" count="737" uniqueCount="611">
  <si>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</si>
  <si>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</si>
  <si>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</si>
  <si>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</si>
  <si>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</si>
  <si>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</si>
  <si>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</si>
  <si>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</si>
  <si>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</si>
  <si>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</si>
  <si>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</si>
  <si>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</si>
  <si>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</si>
  <si>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</si>
  <si>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</si>
  <si>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</si>
  <si>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</si>
  <si>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</si>
  <si>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</si>
  <si>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</si>
  <si>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</si>
  <si>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</si>
  <si>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</si>
  <si>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</si>
  <si>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</si>
  <si>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</si>
  <si>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</si>
  <si>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</si>
  <si>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</si>
  <si>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</si>
  <si>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</si>
  <si>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Виручка від реалізації основних фондів</t>
  </si>
  <si>
    <t xml:space="preserve">Виручка від реалізації нематеріальних активів </t>
  </si>
  <si>
    <t>Грошові кошти:</t>
  </si>
  <si>
    <t>на початок періоду</t>
  </si>
  <si>
    <t>Чистий грошовий потік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</si>
  <si>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</si>
  <si>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</si>
  <si>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</si>
  <si>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</si>
  <si>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</si>
  <si>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</si>
  <si>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</si>
  <si>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</si>
  <si>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</si>
  <si>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</si>
  <si>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</si>
  <si>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</si>
  <si>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</si>
  <si>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</si>
  <si>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</si>
  <si>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 xml:space="preserve">Надходження від продажу акцій та облігацій </t>
  </si>
  <si>
    <t xml:space="preserve">Придбання акцій та облігацій  </t>
  </si>
  <si>
    <t>на кінець періоду</t>
  </si>
  <si>
    <t>Усього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</si>
  <si>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</si>
  <si>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</si>
  <si>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</si>
  <si>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</si>
  <si>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</si>
  <si>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</si>
  <si>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</si>
  <si>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</si>
  <si>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Розвиток виробництва</t>
  </si>
  <si>
    <t>витрати на благодійну допомогу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</si>
  <si>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</si>
  <si>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</si>
  <si>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</si>
  <si>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</si>
  <si>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</si>
  <si>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</si>
  <si>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</si>
  <si>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</si>
  <si>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інші платежі (розшифрувати)</t>
  </si>
  <si>
    <t>кредити</t>
  </si>
  <si>
    <t>Отримання коштів  за довгостроковими зобов'язаннями, у тому числі: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</si>
  <si>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</si>
  <si>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</si>
  <si>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>Повернення коштів  за довгостроковими зобов'язаннями, у тому числі:</t>
  </si>
  <si>
    <t xml:space="preserve">позики </t>
  </si>
  <si>
    <t>Фінансовий результат до оподаткування</t>
  </si>
  <si>
    <t>Чистий  фінансовий результат, у тому числі:</t>
  </si>
  <si>
    <t>І. Формування фінансових результатів</t>
  </si>
  <si>
    <t>плата за користування надрами</t>
  </si>
  <si>
    <t>Оптимальне значення</t>
  </si>
  <si>
    <t>Примітки</t>
  </si>
  <si>
    <t>&gt; 0</t>
  </si>
  <si>
    <t>рентна плата за транспортування</t>
  </si>
  <si>
    <t>витрати, пов'язані з використанням власних службових автомобілів</t>
  </si>
  <si>
    <t>Чистий дохід від реалізації продукції (товарів, робіт, послуг) (розшифрувати)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</si>
  <si>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</si>
  <si>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</si>
  <si>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</si>
  <si>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</si>
  <si>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</si>
  <si>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витрати (розшифрувати)</t>
  </si>
  <si>
    <t>Інші фонди (розшифрувати)</t>
  </si>
  <si>
    <t>Інші цілі (розшифрувати)</t>
  </si>
  <si>
    <t>місцеві податки та збори (розшифрувати)</t>
  </si>
  <si>
    <t>Цільове фінансування  (розшифрувати)</t>
  </si>
  <si>
    <t xml:space="preserve">Інші надходження (розшифрувати)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</si>
  <si>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</si>
  <si>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</si>
  <si>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</si>
  <si>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облігації</t>
  </si>
  <si>
    <t>інші витрати (розшифрувати)</t>
  </si>
  <si>
    <t>інші витрати на збут (розшифрувати)</t>
  </si>
  <si>
    <t>Собівартість реалізованої продукції (товарів, робіт, послуг) (розшифрувати)</t>
  </si>
  <si>
    <t>за КОПФГ</t>
  </si>
  <si>
    <t xml:space="preserve">за ЄДРПОУ 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</si>
  <si>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</si>
  <si>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</si>
  <si>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</si>
  <si>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</si>
  <si>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</si>
  <si>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EBITDA</t>
  </si>
  <si>
    <t>Доходи/витрати від фінансової та інвестиційної діяльності</t>
  </si>
  <si>
    <t>Грошові кошти на початок періоду</t>
  </si>
  <si>
    <t>Чистий рух грошових коштів від операційної діяльності</t>
  </si>
  <si>
    <t>Чистий рух грошових коштів від фінансової діяльності</t>
  </si>
  <si>
    <t>Грошові кошти на кінець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</si>
  <si>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</si>
  <si>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</si>
  <si>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</si>
  <si>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</si>
  <si>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</si>
  <si>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</si>
  <si>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</si>
  <si>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</si>
  <si>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</si>
  <si>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</si>
  <si>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</si>
  <si>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</si>
  <si>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</si>
  <si>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</si>
  <si>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</si>
  <si>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відсотків </t>
  </si>
  <si>
    <t>дивідендів </t>
  </si>
  <si>
    <t>Надходження від деривативів</t>
  </si>
  <si>
    <t>Власного капіталу </t>
  </si>
  <si>
    <t>Розрахунок показника EBITDA</t>
  </si>
  <si>
    <t>Коефіцієнт рентабельності власного капіталу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</si>
  <si>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</si>
  <si>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</si>
  <si>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</si>
  <si>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</si>
  <si>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</si>
  <si>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</si>
  <si>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</si>
  <si>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 xml:space="preserve">Прибуток (збиток) від звичайної діяльності до оподаткування </t>
  </si>
  <si>
    <t>Коригування на:</t>
  </si>
  <si>
    <t>Грошові кошти від операційної діяльності</t>
  </si>
  <si>
    <t>Сплачений податок на прибуток</t>
  </si>
  <si>
    <t>амортизацію необоротних активів</t>
  </si>
  <si>
    <t xml:space="preserve">збільшення (зменшення) забезпечень  </t>
  </si>
  <si>
    <t xml:space="preserve">збиток (прибуток) від нереалізованих курсових різниць </t>
  </si>
  <si>
    <t>збиток (прибуток) від неопераційної діяльності та інших негрошових операцій (розшифрувати)</t>
  </si>
  <si>
    <t>Зменшення (збільшення) оборотних активів (розшифрувати)</t>
  </si>
  <si>
    <t>Збільшення (зменшення) поточних зобов’язань (розшифрувати)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</si>
  <si>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</si>
  <si>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</si>
  <si>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</si>
  <si>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</si>
  <si>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</si>
  <si>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</si>
  <si>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</si>
  <si>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</si>
  <si>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інші витрати</t>
  </si>
  <si>
    <t>Основні фінансові показники</t>
  </si>
  <si>
    <t>Чистий дохід від реалізації продукції (товарів, робіт, послуг)</t>
  </si>
  <si>
    <t>Відрахування частини чистого прибутку, усього, у тому числі:</t>
  </si>
  <si>
    <t>витрати на оренду службових автомобілів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</si>
  <si>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</si>
  <si>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</si>
  <si>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</si>
  <si>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</si>
  <si>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</si>
  <si>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Інші операційні доходи (розшифрувати), у тому числі:</t>
  </si>
  <si>
    <t>курсові різниці</t>
  </si>
  <si>
    <t>Інші доходи (розшифрувати), у тому числі:</t>
  </si>
  <si>
    <t>Інші витрати (розшифрувати), у тому числі:</t>
  </si>
  <si>
    <t>2145/1</t>
  </si>
  <si>
    <t>2145/2</t>
  </si>
  <si>
    <t>4010</t>
  </si>
  <si>
    <t>Адміністративні витрати, у тому числі:</t>
  </si>
  <si>
    <t>Витрати на збут, у тому числі:</t>
  </si>
  <si>
    <t>Рентабельність EBITDA</t>
  </si>
  <si>
    <t>Чистий  фінансовий результат</t>
  </si>
  <si>
    <t>Коефіцієнт рентабельності діяльності</t>
  </si>
  <si>
    <t>2120 / 2130</t>
  </si>
  <si>
    <t>Коефіцієнт фінансової стійкості</t>
  </si>
  <si>
    <t>Інші доходи/витрати</t>
  </si>
  <si>
    <t>Чистий рух грошових коштів від інвестиційної діяльності</t>
  </si>
  <si>
    <t>Пояснення та обґрунтування до запланованого рівня доходів/витрат</t>
  </si>
  <si>
    <t>Елементи операційних витрат</t>
  </si>
  <si>
    <t>Прибуток (збиток) від операційної діяльності до змін в оборотному капіталі</t>
  </si>
  <si>
    <t>Інші поточні податки, збори, обов'язкові платежі до державного та місцевих бюджетів, у тому числі:</t>
  </si>
  <si>
    <t>Коди</t>
  </si>
  <si>
    <t>інші операційні витрати (розшифрувати)</t>
  </si>
  <si>
    <t>Неконтрольована частка</t>
  </si>
  <si>
    <t>погашення реструктуризованих та відстрочених сум,  що підлягають сплаті в поточному році до бюджетів та державних цільових фондів</t>
  </si>
  <si>
    <t>Найменування показника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</si>
  <si>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</si>
  <si>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</si>
  <si>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</si>
  <si>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Усього зобов'язання і забезпечення</t>
  </si>
  <si>
    <t>Усього активи</t>
  </si>
  <si>
    <t>Доходи і витрати (деталізація)</t>
  </si>
  <si>
    <t>Доходи/витрати від фінансової та інвестиційної діяльності
(рядок 1110 + рядок 1120 - рядок 1130 - рядок 1140)</t>
  </si>
  <si>
    <t>Інші доходи/витрати
(рядок 1150 - рядок 1160)</t>
  </si>
  <si>
    <t>Фінансовий результат від операційної діяльності (рядок 1100)</t>
  </si>
  <si>
    <t>плюс амортизація (рядок 1530)</t>
  </si>
  <si>
    <t>мінус операційні доходи від курсових різниць (рядок 1031)</t>
  </si>
  <si>
    <t>плюс операційні витрати від курсових різниць (рядок 1084)</t>
  </si>
  <si>
    <t>Інші операційні доходи/витрати
(рядок 1030 - рядок 1080)</t>
  </si>
  <si>
    <t>Надходження</t>
  </si>
  <si>
    <t xml:space="preserve">Надходження </t>
  </si>
  <si>
    <t>Витрати</t>
  </si>
  <si>
    <t>Ковенанти/обмежувальні коефіцієнти</t>
  </si>
  <si>
    <t>Валовий прибуток/збиток</t>
  </si>
  <si>
    <t>витрати на сировину та основні матеріали</t>
  </si>
  <si>
    <t>Доходи і витрати (узагальнені показники)</t>
  </si>
  <si>
    <t>Матеріальні витрати, у тому числі:</t>
  </si>
  <si>
    <t>Коефіцієнт відношення боргу до EBITDA
(довгострокові зобов'язання, рядок 6040 + поточні зобов'язання, рядок 6050 / EBITDA, рядок 1410)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</si>
  <si>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</si>
  <si>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</si>
  <si>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>Коефіцієнт відношення капітальних інвестицій до амортизації
(рядок 4000 / рядок 1530)</t>
  </si>
  <si>
    <t>Коефіцієнт відношення капітальних інвестицій до чистого доходу (виручки) від реалізації продукції (товарів, робіт, послуг)
(рядок 4000 / рядок 1000)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</si>
  <si>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</si>
  <si>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</si>
  <si>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</si>
  <si>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</si>
  <si>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</si>
  <si>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</si>
  <si>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</si>
  <si>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мінус/плюс значні нетипові операційні доходи/витрати (розшифрувати)</t>
  </si>
  <si>
    <t>Валова рентабельність
(валовий прибуток, рядок 1020 / чистий дохід від реалізації продукції (товарів, робіт, послуг), рядок 1000, %)</t>
  </si>
  <si>
    <t>Рентабельність EBITDA
(EBITDA, рядок 1410 / чистий дохід від реалізації продукції (товарів, робіт, послуг), рядок 1000, %)</t>
  </si>
  <si>
    <t>Коефіцієнт зносу основних засобів 
(сума зносу / первісна вартість основних засобів) 
(форма 1, рядок 1012 / форма 1, рядок 1011)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</si>
  <si>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</si>
  <si>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Податок на додану вартість нарахований/до відшкодування
(з мінусом)</t>
  </si>
  <si>
    <t>Коефіцієнт рентабельності активів
(чистий фінансовий результат, рядок 1200 / вартість активів, рядок 6030)</t>
  </si>
  <si>
    <t>Коефіцієнт рентабельності власного капіталу
(чистий фінансовий результат, рядок 1200 / власний капітал, рядок 6090)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</si>
  <si>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</si>
  <si>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Відрахування частини чистого прибутку</t>
  </si>
  <si>
    <t>Сплата інших податків, зборів, обов'язкових платежів до державного та місцевих бюджетів</t>
  </si>
  <si>
    <t>Усього виплат</t>
  </si>
  <si>
    <t>Усього доходів (рядок 1000 + рядок 1030 + рядок 1110 + рядок 1120+ рядок 1150)</t>
  </si>
  <si>
    <t>Усього витрат (рядок 1010 + рядок 1040 + рядок 1070 + рядок 1080 + рядок 1130 + рядок 1140 + рядок 1160 + рядок 1180 + рядок 1190)</t>
  </si>
  <si>
    <t>Таблиця IІ. Розрахунки з бюджетом</t>
  </si>
  <si>
    <t>Таблиця I. Формування фінансових результатів</t>
  </si>
  <si>
    <t>внесок 15 % чистого прибутку до загального фонду міського бюджету</t>
  </si>
  <si>
    <t>внесок 60 % частини прибутку, який залишається в розпорядженні підприємства після оподаткування відповідно до чинного законодавства та сплати 15 % чистого прибутку до загального фонду міського бюджету</t>
  </si>
  <si>
    <t>Таблиця ІІІ. Рух грошових коштів</t>
  </si>
  <si>
    <r>
      <t xml:space="preserve">Орган державного управління  </t>
    </r>
    <r>
      <rPr>
        <b/>
        <i/>
        <sz val="16"/>
        <rFont val="Times New Roman"/>
        <family val="1"/>
        <charset val="204"/>
      </rPr>
      <t xml:space="preserve"> </t>
    </r>
  </si>
  <si>
    <t>Одиниця виміру, тис. гривень без десяткових знаків</t>
  </si>
  <si>
    <t>військовий збір</t>
  </si>
  <si>
    <t>2147/1</t>
  </si>
  <si>
    <t>1160/1</t>
  </si>
  <si>
    <t>1062/1</t>
  </si>
  <si>
    <t>1062/2</t>
  </si>
  <si>
    <t>1062/3</t>
  </si>
  <si>
    <t>1062/4</t>
  </si>
  <si>
    <t>1085/1</t>
  </si>
  <si>
    <t>1085/2</t>
  </si>
  <si>
    <t>1085/3</t>
  </si>
  <si>
    <t>1030/1</t>
  </si>
  <si>
    <t>у тому числі за основними видами діяльності за КВЕД 81.29</t>
  </si>
  <si>
    <t>2147/2</t>
  </si>
  <si>
    <t>Пасажирський наземний транспорт міського та приміського сполучення</t>
  </si>
  <si>
    <t>витрати на тепловодопостачання</t>
  </si>
  <si>
    <t>1030/2</t>
  </si>
  <si>
    <t>1030/3</t>
  </si>
  <si>
    <t>1030/4</t>
  </si>
  <si>
    <t>1030/5</t>
  </si>
  <si>
    <t>1030/6</t>
  </si>
  <si>
    <t>1030/7</t>
  </si>
  <si>
    <t>дохід від реалізації інших оборотних активів</t>
  </si>
  <si>
    <t>дохід від операційної оренди активів</t>
  </si>
  <si>
    <t>цільове фінансування (субсидії та поточні трансферти)</t>
  </si>
  <si>
    <t>1060/1</t>
  </si>
  <si>
    <t>1060/2</t>
  </si>
  <si>
    <t>1060/3</t>
  </si>
  <si>
    <t>1060/4</t>
  </si>
  <si>
    <t>1062/5</t>
  </si>
  <si>
    <t>1062/6</t>
  </si>
  <si>
    <t>1062/7</t>
  </si>
  <si>
    <t>1062/8</t>
  </si>
  <si>
    <t>1062/9</t>
  </si>
  <si>
    <t>1062/10</t>
  </si>
  <si>
    <t>1062/11</t>
  </si>
  <si>
    <t>послуги інкасації</t>
  </si>
  <si>
    <t>податки до бюджету</t>
  </si>
  <si>
    <t>послуги банку</t>
  </si>
  <si>
    <t>оформлення правоустановлюючих документів,ліцензій</t>
  </si>
  <si>
    <t>друкування креслень</t>
  </si>
  <si>
    <t>підготовка кадрів</t>
  </si>
  <si>
    <t>проїзні квитки для виробничих потреб</t>
  </si>
  <si>
    <t>компенсація зносу будівель</t>
  </si>
  <si>
    <t>інші адміністративні витрати</t>
  </si>
  <si>
    <t>1085/4</t>
  </si>
  <si>
    <t>1085/5</t>
  </si>
  <si>
    <t>1085/6</t>
  </si>
  <si>
    <t>1085/7</t>
  </si>
  <si>
    <t>1085/8</t>
  </si>
  <si>
    <t>1085/9</t>
  </si>
  <si>
    <t>1085/10</t>
  </si>
  <si>
    <t>1085/11</t>
  </si>
  <si>
    <t>1085/12</t>
  </si>
  <si>
    <t>1085/13</t>
  </si>
  <si>
    <t>1085/14</t>
  </si>
  <si>
    <t>1085/15</t>
  </si>
  <si>
    <t>страхування працівників</t>
  </si>
  <si>
    <t>витрати пов’язані з наданням активів в операційну оренду</t>
  </si>
  <si>
    <t>перерахування коштів профкому</t>
  </si>
  <si>
    <t>витрати на утримання музею історії метрополітену</t>
  </si>
  <si>
    <t>витрати на благоустрій территорії(суботники,озеленення та інше)</t>
  </si>
  <si>
    <t>витрати до річниці метрополітену та державних свят</t>
  </si>
  <si>
    <t>витрати на облаштування кімнат відпочинку машиністів</t>
  </si>
  <si>
    <t>оплата 5-ти днів лікарняних за рахунок підприємства з нарахуваннями</t>
  </si>
  <si>
    <t>інші операційні витрати</t>
  </si>
  <si>
    <t>середня заробітна плата мобілізованих за рахунок підприємства з нарахуваннями</t>
  </si>
  <si>
    <t>1150/1</t>
  </si>
  <si>
    <t>дохід від безоплатно отриманих необоротних активів</t>
  </si>
  <si>
    <t>списання необоротних активів</t>
  </si>
  <si>
    <t>1041/1</t>
  </si>
  <si>
    <t>1041/2</t>
  </si>
  <si>
    <t>1041/3</t>
  </si>
  <si>
    <t>1041/4</t>
  </si>
  <si>
    <t>1041/5</t>
  </si>
  <si>
    <t>1041/6</t>
  </si>
  <si>
    <t>матеріали, запчастини</t>
  </si>
  <si>
    <t>паливо</t>
  </si>
  <si>
    <t>амортизація основних засобів</t>
  </si>
  <si>
    <t>в т.ч. амортизація</t>
  </si>
  <si>
    <t xml:space="preserve">Віднесення сум дооцінки додаткового капіталу до нерозподіленого прибутку </t>
  </si>
  <si>
    <t>2060/1</t>
  </si>
  <si>
    <t>податок на нерухоме майно</t>
  </si>
  <si>
    <t>екологічний податок</t>
  </si>
  <si>
    <t>рентна плата за спецводовикористання</t>
  </si>
  <si>
    <t>рентна плата за користування радіочастотним ресурсом</t>
  </si>
  <si>
    <t>2146/1</t>
  </si>
  <si>
    <t>2146/2</t>
  </si>
  <si>
    <t>2147/3</t>
  </si>
  <si>
    <t>2147/4</t>
  </si>
  <si>
    <t>3030/1</t>
  </si>
  <si>
    <t>3310/1</t>
  </si>
  <si>
    <t>збільшення незавершених капітальних інвестицій</t>
  </si>
  <si>
    <t>3310/2</t>
  </si>
  <si>
    <t>3030/2</t>
  </si>
  <si>
    <t>3060/1</t>
  </si>
  <si>
    <t>3310/3</t>
  </si>
  <si>
    <t>3030/3</t>
  </si>
  <si>
    <t>Комунальне підприємство</t>
  </si>
  <si>
    <t>49.31</t>
  </si>
  <si>
    <t>КОМУНАЛЬНА ВЛАСНІСТЬ</t>
  </si>
  <si>
    <t>1062/12</t>
  </si>
  <si>
    <t>1062/13</t>
  </si>
  <si>
    <t xml:space="preserve">відведення земельних ділянок </t>
  </si>
  <si>
    <t>забезпечення на виплату відпусток</t>
  </si>
  <si>
    <t xml:space="preserve"> в т.ч. витрати на соціальні заходи</t>
  </si>
  <si>
    <t>дооцінка основних засобів</t>
  </si>
  <si>
    <t>3030/4</t>
  </si>
  <si>
    <t>Міські, районні у містах ради та їх виконавчі комітети</t>
  </si>
  <si>
    <t>з підвищенням цін</t>
  </si>
  <si>
    <t>"</t>
  </si>
  <si>
    <t>з підвищенням цін і тарифів</t>
  </si>
  <si>
    <t>за рішенням сесії міської ради</t>
  </si>
  <si>
    <t xml:space="preserve">з підвищ. мін. зарплати </t>
  </si>
  <si>
    <r>
      <t xml:space="preserve">Характеризує співвідношення власних та позикових коштів і залежність підприємства від зовнішніх фінансових </t>
    </r>
    <r>
      <rPr>
        <sz val="12"/>
        <rFont val="Times New Roman"/>
        <family val="1"/>
        <charset val="204"/>
      </rPr>
      <t>джерел</t>
    </r>
  </si>
  <si>
    <t xml:space="preserve">        Х</t>
  </si>
  <si>
    <t>3270/1</t>
  </si>
  <si>
    <t xml:space="preserve"> витрати, що здійснюються для підтримання об’єкта в робочому стані (проведення ремонту, технічного огляду, нагляду, обслуговування тощо)</t>
  </si>
  <si>
    <t>3270/2</t>
  </si>
  <si>
    <t>цільове фінансування капітальних інвестицій у розмірі амортизації</t>
  </si>
  <si>
    <t>1030/8</t>
  </si>
  <si>
    <t>3030/5</t>
  </si>
  <si>
    <t>3470/1</t>
  </si>
  <si>
    <t xml:space="preserve">матеріальна допомога на лікування працівників у випадках важкого  захворювання з нарахуваннями </t>
  </si>
  <si>
    <t>1085/7/1</t>
  </si>
  <si>
    <t>1085/14/1</t>
  </si>
  <si>
    <t>1085/16</t>
  </si>
  <si>
    <t>КП "Дніпровський метрополітен"</t>
  </si>
  <si>
    <t>МЕТРОПОЛІТЕННИЙ  ТРАНСПОРТ  ЗАГАЛЬНОГО  КОРИСТУВАННЯ</t>
  </si>
  <si>
    <t>дохід від списання кредиторської заборгованності, строк позову щодо якої минув</t>
  </si>
  <si>
    <t>Придбання колійновимірювального візка ПТ-7МК</t>
  </si>
  <si>
    <t>3310/3/2</t>
  </si>
  <si>
    <t>3270/3</t>
  </si>
  <si>
    <t>3270/4</t>
  </si>
  <si>
    <t>3270/5</t>
  </si>
  <si>
    <t>3270/6</t>
  </si>
  <si>
    <t>3270/7</t>
  </si>
  <si>
    <t>3270/8</t>
  </si>
  <si>
    <t>3270/9</t>
  </si>
  <si>
    <t>3270/10</t>
  </si>
  <si>
    <t>3270/11</t>
  </si>
  <si>
    <t>3310/2/1</t>
  </si>
  <si>
    <t>3310/2/2</t>
  </si>
  <si>
    <t>3310/2/3</t>
  </si>
  <si>
    <t>Інші платежі</t>
  </si>
  <si>
    <t>3310/3/3</t>
  </si>
  <si>
    <t>3310/3/4</t>
  </si>
  <si>
    <t>3310/3/5</t>
  </si>
  <si>
    <t>3310/3/6</t>
  </si>
  <si>
    <t>3310/3/7</t>
  </si>
  <si>
    <t>3470/2</t>
  </si>
  <si>
    <t xml:space="preserve">фінансування коригування проекту "Будівництво першої черги метрополітену у м.Дніпропетровську" I-й  та III-й пускові комплекси </t>
  </si>
  <si>
    <t xml:space="preserve"> коригування проекту "Будівництво першої черги метрополітену у м.Дніпропетровську" I-й  та III-й пускові комплекси </t>
  </si>
  <si>
    <t>3280/1</t>
  </si>
  <si>
    <t>3280/2</t>
  </si>
  <si>
    <t>3310/3/8</t>
  </si>
  <si>
    <t>3310/3/9</t>
  </si>
  <si>
    <t>інші МНМА</t>
  </si>
  <si>
    <t>3310/3/10</t>
  </si>
  <si>
    <t>3310/2/4</t>
  </si>
  <si>
    <t>3270/13</t>
  </si>
  <si>
    <t>3270/15</t>
  </si>
  <si>
    <t>3270/17</t>
  </si>
  <si>
    <t>3270/18</t>
  </si>
  <si>
    <t>3310/3/11</t>
  </si>
  <si>
    <t>3310/3/12</t>
  </si>
  <si>
    <t>Придбання ультразвукового товщиноміра</t>
  </si>
  <si>
    <t>3270/19</t>
  </si>
  <si>
    <t>3270/21</t>
  </si>
  <si>
    <t>Відефільм про метрополітен</t>
  </si>
  <si>
    <t>3290/1</t>
  </si>
  <si>
    <t>інвестиційний проект  "Завершення будівництва  метрополітену у м.Дніпропетровську"(у т.ч. "Коригування проекту "Будівництво першої черги  метрополітену у м.Дніпропетровськ",Турція</t>
  </si>
  <si>
    <t>3280/3</t>
  </si>
  <si>
    <t>фінансування на регулювання тарифу</t>
  </si>
  <si>
    <t xml:space="preserve">фінансування на капітальні ремонти </t>
  </si>
  <si>
    <t>1030/6/1</t>
  </si>
  <si>
    <t>1030/6/2</t>
  </si>
  <si>
    <t>1030/6/3</t>
  </si>
  <si>
    <t xml:space="preserve">з підвищ. прожитков. мінім.та мін. зарплати </t>
  </si>
  <si>
    <t>консультацйні послуги з нагляду за виконанням будівельних робіт по проекту "Завершення будівництва метрополітену в м.Дніпропетровськ" ILF Consulting Engineers Polska Sp.z o.o., Польща</t>
  </si>
  <si>
    <t>потравка гризунів,   комах в тунелі та на станціях метрополітену</t>
  </si>
  <si>
    <t>з необхідністю про- ведення дератизації та дезінсекції</t>
  </si>
  <si>
    <t>фінансування на страхування працівників</t>
  </si>
  <si>
    <t>з підвищенням тарифу</t>
  </si>
  <si>
    <t>капітальний ремонт</t>
  </si>
  <si>
    <t>1060/5</t>
  </si>
  <si>
    <t>витрати на сировину, запчастини  та основні матеріали</t>
  </si>
  <si>
    <t xml:space="preserve"> </t>
  </si>
  <si>
    <t>витрати на профілактичні роботи із запобігання виникнення надзвичайних ситуацій техногенного характеру  (ВГРЗ)</t>
  </si>
  <si>
    <t>Відрахування частини чистого прибутку, усього,                                   у тому числі:</t>
  </si>
  <si>
    <t>технічне переоснащення, модифікація (добудова, дообладнання, реконструкція) основних засобів</t>
  </si>
  <si>
    <t>Придбання переносного стенда  для перевірки системи АРШ-Д вагонів метро типу 81-717.5</t>
  </si>
  <si>
    <t xml:space="preserve">Придбання вимірювального комплексу контролю положення контактної рейки </t>
  </si>
  <si>
    <t>Придбання скоби для вимірів діаметрів колісних пар рухомого складу</t>
  </si>
  <si>
    <t>Придбання пресу для перепресовки колісних пар вагонів метро</t>
  </si>
  <si>
    <t>з придбанням основ. засобів</t>
  </si>
  <si>
    <t>визнані штрафи, пені, неустойки</t>
  </si>
  <si>
    <t>1030/9</t>
  </si>
  <si>
    <t>Придбання інших основниїх засобів</t>
  </si>
  <si>
    <t>технічне переоснащення , модифікація (добудова, дообладнання, реконструкція) основних засобів</t>
  </si>
  <si>
    <t xml:space="preserve"> 3310/4</t>
  </si>
  <si>
    <t>1000/1</t>
  </si>
  <si>
    <t>1000/2</t>
  </si>
  <si>
    <t>доходи від іншої допоміжної діяльності</t>
  </si>
  <si>
    <t>доходи від перевезень пасажирів</t>
  </si>
  <si>
    <t>3470/3</t>
  </si>
  <si>
    <t>3470/5</t>
  </si>
  <si>
    <t>3270/28</t>
  </si>
  <si>
    <t>3270/29</t>
  </si>
  <si>
    <t>3270/30</t>
  </si>
  <si>
    <t>3270/31</t>
  </si>
  <si>
    <t>3050/1</t>
  </si>
  <si>
    <t>Додаток 3</t>
  </si>
  <si>
    <t>до Порядку складання, затвердження та контролю виконання фінансових планів підприємств комунальної власності територіальної громади міста Дніпра</t>
  </si>
  <si>
    <t>ЗВІТ</t>
  </si>
  <si>
    <t>ПРО ВИКОНАННЯ ФІНАНСОВОГО ПЛАНУ ПІДПРИЄМСТВА</t>
  </si>
  <si>
    <t>(І квартал, півріччя, 9 місяців, рік)</t>
  </si>
  <si>
    <t>Звітний період</t>
  </si>
  <si>
    <t xml:space="preserve">план </t>
  </si>
  <si>
    <t>факт</t>
  </si>
  <si>
    <t>відхилення,  +/–</t>
  </si>
  <si>
    <t>виконання, %</t>
  </si>
  <si>
    <t>Минулий рік (аналогічний період)</t>
  </si>
  <si>
    <t>відхи-
лення,  +/–</t>
  </si>
  <si>
    <t>Минулий рік (анало-
гічний період)</t>
  </si>
  <si>
    <t>3270/12</t>
  </si>
  <si>
    <t>в т.ч. середня заробітна плата мобілізованих</t>
  </si>
  <si>
    <t>в т.ч. нарахування на заробітну плату мобілізованих</t>
  </si>
  <si>
    <t>1085/16/1</t>
  </si>
  <si>
    <t>1085/16/2</t>
  </si>
  <si>
    <t>1085/6/1</t>
  </si>
  <si>
    <t>3260/2/1</t>
  </si>
  <si>
    <t>3260/2/2</t>
  </si>
  <si>
    <t>3260/2/3</t>
  </si>
  <si>
    <t>Виручка від реалізації ТМЦ</t>
  </si>
  <si>
    <t>3260/1</t>
  </si>
  <si>
    <t>3260/2</t>
  </si>
  <si>
    <t xml:space="preserve">Придбання комплекту устаткування для усунення наслідків аварійної ситуації </t>
  </si>
  <si>
    <t>Придбання кондиціонера</t>
  </si>
  <si>
    <t>Придбання МФУ 3шт</t>
  </si>
  <si>
    <t>Придбання балометра БП-2 2шт</t>
  </si>
  <si>
    <t>Придбання киловольтметра</t>
  </si>
  <si>
    <t>Придбання мегаметра 3шт</t>
  </si>
  <si>
    <t>3270/20</t>
  </si>
  <si>
    <t>Ліцензія на медогляд машинистів</t>
  </si>
  <si>
    <t>3290/2</t>
  </si>
  <si>
    <t xml:space="preserve">     (підпис)</t>
  </si>
  <si>
    <t xml:space="preserve">витрати на доставку і виплату пенсій </t>
  </si>
  <si>
    <t>Придбання ПК</t>
  </si>
  <si>
    <t>3310/3/1</t>
  </si>
  <si>
    <t>у т.ч.: консультацйні послуги з нагляду за виконанням будівельних робіт по проекту "Завершення будівництва метрополітену в м.Дніпропетровськ" ILF Consulting Engineers Polska Sp.z o.o., Польща</t>
  </si>
  <si>
    <t>інвестиційний проект  "Завершення будівництва  метрополітену у м.Дніпропетровську"(у т.ч. "Коригування проекту "Будівництво першої черги  метрополітену у м.Дніпропетровськ"), Турція</t>
  </si>
  <si>
    <t>технічне переоснащення (модернізація) , модифікація (добудова, дообладнання, реконструкція) основних засобів</t>
  </si>
  <si>
    <t>земельн.податок</t>
  </si>
  <si>
    <r>
      <t xml:space="preserve">Керівник           </t>
    </r>
    <r>
      <rPr>
        <b/>
        <u/>
        <sz val="14"/>
        <rFont val="Times New Roman"/>
        <family val="1"/>
        <charset val="204"/>
      </rPr>
      <t xml:space="preserve"> Д</t>
    </r>
    <r>
      <rPr>
        <b/>
        <u/>
        <sz val="16"/>
        <rFont val="Times New Roman"/>
        <family val="1"/>
        <charset val="204"/>
      </rPr>
      <t>иректор</t>
    </r>
  </si>
  <si>
    <r>
      <t xml:space="preserve">Керівник           </t>
    </r>
    <r>
      <rPr>
        <b/>
        <u/>
        <sz val="14"/>
        <rFont val="Times New Roman"/>
        <family val="1"/>
        <charset val="204"/>
      </rPr>
      <t>Директор</t>
    </r>
  </si>
  <si>
    <t>Ліпьошкін Андрій Валерійович</t>
  </si>
  <si>
    <t>3270/32</t>
  </si>
  <si>
    <t>1018/1</t>
  </si>
  <si>
    <t>1018/2</t>
  </si>
  <si>
    <t>собівартість реалізованих товарів</t>
  </si>
  <si>
    <t>3260/2/4</t>
  </si>
  <si>
    <t xml:space="preserve">                                                                                                                                                               (без ПДВ)</t>
  </si>
  <si>
    <t>3310/2/5</t>
  </si>
  <si>
    <t>3310/2/6</t>
  </si>
  <si>
    <t>Придбання рейкорізального станка</t>
  </si>
  <si>
    <t>Придбання молотка відбійного</t>
  </si>
  <si>
    <t>3270/14</t>
  </si>
  <si>
    <t>3270/16</t>
  </si>
  <si>
    <t>Доходи іншої діяльності</t>
  </si>
  <si>
    <t>дохід від іншої допоміжної діяльності</t>
  </si>
  <si>
    <t>1030/2/1</t>
  </si>
  <si>
    <t>1030/2/2</t>
  </si>
  <si>
    <t>суми штрафів, пені, неустойок</t>
  </si>
  <si>
    <t>відшкодування додаткових відпусток учасникам ліквідації ЧАЕС</t>
  </si>
  <si>
    <t xml:space="preserve">фінансування на утримання ГУП </t>
  </si>
  <si>
    <t>інші доходи від операційної діяльності</t>
  </si>
  <si>
    <t>матеріальна допомога на поховання з нарахуваннями</t>
  </si>
  <si>
    <t>у тому числі нарахування</t>
  </si>
  <si>
    <t>лікарняні за рахунок коштів фонду соцстрахування (нарахування)</t>
  </si>
  <si>
    <t>1085/17</t>
  </si>
  <si>
    <t>матеріальна допомога  в межах прожиткового мінімуму з нарахуваннями</t>
  </si>
  <si>
    <t>1085/18</t>
  </si>
  <si>
    <t>у тому числі нарахування на матеріальну допомогу</t>
  </si>
  <si>
    <t>1085/18/1</t>
  </si>
  <si>
    <t xml:space="preserve">коригування проекту "Будівництво першої черги метрополітену у м.Дніпропетровську" I-й  та III-й пускові комплекси </t>
  </si>
  <si>
    <r>
      <rPr>
        <b/>
        <sz val="14"/>
        <rFont val="Times New Roman"/>
        <family val="1"/>
        <charset val="204"/>
      </rPr>
      <t xml:space="preserve">технічне переоснащення </t>
    </r>
    <r>
      <rPr>
        <sz val="14"/>
        <rFont val="Times New Roman"/>
        <family val="1"/>
        <charset val="204"/>
      </rPr>
      <t xml:space="preserve">(модернізація) , модифікація (добудова, дообладнання, реконструкція), </t>
    </r>
    <r>
      <rPr>
        <b/>
        <sz val="14"/>
        <rFont val="Times New Roman"/>
        <family val="1"/>
        <charset val="204"/>
      </rPr>
      <t>придбання</t>
    </r>
    <r>
      <rPr>
        <sz val="14"/>
        <rFont val="Times New Roman"/>
        <family val="1"/>
        <charset val="204"/>
      </rPr>
      <t xml:space="preserve"> основних засобів</t>
    </r>
  </si>
  <si>
    <t>Придбання скоби  для вимірів діаметрів колісних пар вагонів</t>
  </si>
  <si>
    <t>придбання  вогнегасників та засобів до них</t>
  </si>
  <si>
    <t>придбання протигазів, інших засобів захисту</t>
  </si>
  <si>
    <t xml:space="preserve">придбання спеціального одягу, спецвзуття </t>
  </si>
  <si>
    <t>Розробка проекту розширення об´єкта шляхом технічного переоснащення системи пожежної сигналізації із улаштуванням автоматичної системи пожежної сигналізації і впровадженням системи оповіщення та управління евакуацією людей при пожежі на станції метрополітену "Вокзальна" у місті Дніпро</t>
  </si>
  <si>
    <t>упровадження системи автоматичного пожежогасіння та сигналізації у підземних спорудах метрополітену</t>
  </si>
  <si>
    <t xml:space="preserve">Роботи з розширення об′єкта шляхом технічного переоснащення системи пожежної сигналізації із улаштуванням автоматичної системи пожежної сигналізації і впровадженням системи оповіщення та управління евакуацією людей при пожежі на станції метрополітену "Вокзальна" у місті Дніпро </t>
  </si>
  <si>
    <t>Технічне переоснащення системи опалення будівлі мотовозного цеху з камерами мийки, обдувки. Розробка проекту. Виконання робіт</t>
  </si>
  <si>
    <t xml:space="preserve">Технічне переоснащення ескалаторного господарства. Заміна гальм типу КМТ на сучасні економні гальма типу КЕП. </t>
  </si>
  <si>
    <t xml:space="preserve">Ст. Металургів. Розробка проекту з розширення об’єкту шляхом технічного переоснащення системи пожежної сигналізації  із улаштуванням автоматичної системи пожежної сигналізації і впровадженням системи оповіщення та управління евакуацією людей при пожежі </t>
  </si>
  <si>
    <t>Технічне переоснащення основної водовідливної установки ТВУ-6. Корегування проекту. Виконання робіт</t>
  </si>
  <si>
    <t xml:space="preserve">Технічне переоснащення електроприводів електромеханічних пристроїв та ескалаторів </t>
  </si>
  <si>
    <t>Технічне переоснащення повітряно-теплових завіс на станціях</t>
  </si>
  <si>
    <t>Роботи з усунення протікань  ст.Проспект Свободи, згідно проектної документації .Технічний нагляд.</t>
  </si>
  <si>
    <t>1030/10</t>
  </si>
  <si>
    <t>в т.ч. нарахування</t>
  </si>
  <si>
    <t>1085/4/1</t>
  </si>
  <si>
    <t>додаткова відпустка ЧАЕС</t>
  </si>
  <si>
    <t>1085/19</t>
  </si>
  <si>
    <t>1085/19/1</t>
  </si>
  <si>
    <t>сумнівні безнадійні борги та втрати від знецінення запасів,списання необоротних активів</t>
  </si>
  <si>
    <t>2060/2</t>
  </si>
  <si>
    <t>Повернення в ході ревізії зайво отриманих бюджетних коштів на виплату зарплати</t>
  </si>
  <si>
    <t>2060/3</t>
  </si>
  <si>
    <t>Компенсаційні податкові зобов’язання відповідно до вимог ПКУ, виявлені під час аудиту</t>
  </si>
  <si>
    <t xml:space="preserve">Придбання ПК </t>
  </si>
  <si>
    <t>придбання приладів відеонагляду</t>
  </si>
  <si>
    <t>коригування суми нерозподіленого прибутку непокритого збитку</t>
  </si>
  <si>
    <t>3030/6</t>
  </si>
  <si>
    <t xml:space="preserve"> безоплатно отримані необоротні активи</t>
  </si>
  <si>
    <t>3030/7</t>
  </si>
  <si>
    <t>незавершені капітальні інвестиції</t>
  </si>
  <si>
    <t>3050/2</t>
  </si>
  <si>
    <t>3050/3</t>
  </si>
  <si>
    <t>3050/4</t>
  </si>
  <si>
    <t>запаси</t>
  </si>
  <si>
    <t>дебіторська заборгованість</t>
  </si>
  <si>
    <t>витрати майбутніх періодів</t>
  </si>
  <si>
    <t>поточні зобов'язання</t>
  </si>
  <si>
    <t>доходи майбутніх періодів</t>
  </si>
  <si>
    <t>інші пототочні зобов'язання</t>
  </si>
  <si>
    <t>3060/2</t>
  </si>
  <si>
    <t>3060/3</t>
  </si>
  <si>
    <t>коригування  суми амортизації згідно з балансом</t>
  </si>
  <si>
    <t xml:space="preserve"> 9 місяців 2021</t>
  </si>
  <si>
    <t>Звітний період 9 місяців 2021</t>
  </si>
  <si>
    <r>
      <rPr>
        <b/>
        <sz val="14"/>
        <rFont val="Times New Roman"/>
        <family val="1"/>
        <charset val="204"/>
      </rPr>
      <t>улаштування</t>
    </r>
    <r>
      <rPr>
        <sz val="14"/>
        <rFont val="Times New Roman"/>
        <family val="1"/>
        <charset val="204"/>
      </rPr>
      <t xml:space="preserve">  карусельного станка  для ремонту колісних пар вагонів метро . Корегування проекту.Виконання робіт.</t>
    </r>
  </si>
  <si>
    <r>
      <rPr>
        <sz val="14"/>
        <rFont val="Times New Roman"/>
        <family val="1"/>
        <charset val="204"/>
      </rPr>
      <t>інші витрати</t>
    </r>
    <r>
      <rPr>
        <sz val="10"/>
        <rFont val="Times New Roman"/>
        <family val="1"/>
        <charset val="204"/>
      </rPr>
      <t xml:space="preserve"> ( виготовлення деталей, ремонт ел. двигунів, насосів, вузлів ескалаторів, повірка приладів, лічильників, зв’язок, ремонт та ТО ліфртів, страхування водіїв а/м,  страхування водіїв а/м, машиністів,  дез-обробка станцій та тунелю,  ДПД, перезарядка, ремонт  вогнегасників, бланки,канцтовари, навчання, відрядження, проїздні квитки, перепустки, вивіз ТВП, медикаменти, тара, обслугов. жетонорахув., підлогомийних маш.,ВГРЗ , інш.)</t>
    </r>
  </si>
  <si>
    <t>1085/5/1</t>
  </si>
  <si>
    <t>інші оборотні активи</t>
  </si>
  <si>
    <t>Роботи з проектування техн переосн системи опалення буд мотовозн цеху</t>
  </si>
  <si>
    <t>3310/3/13</t>
  </si>
  <si>
    <t>Роботи з проектування освітлення електродепо</t>
  </si>
  <si>
    <t>3310/2/7</t>
  </si>
  <si>
    <t>придбання електричного приладдя</t>
  </si>
  <si>
    <t>придбання побутове приладдя</t>
  </si>
  <si>
    <t>3310/2/8</t>
  </si>
  <si>
    <t xml:space="preserve">придбання насоса циркуляційного </t>
  </si>
  <si>
    <t>за КАТОТТГ 1</t>
  </si>
  <si>
    <t>UA12020010010639502</t>
  </si>
  <si>
    <t>Рік 2021</t>
  </si>
  <si>
    <t>ДНІПРОПЕТРОВСЬКА</t>
  </si>
  <si>
    <t>Андрій Ліпьошкін</t>
  </si>
  <si>
    <t xml:space="preserve">         (власне ім'я, прізвище)    </t>
  </si>
  <si>
    <t xml:space="preserve">        (власне ім'я, прізвище)    </t>
  </si>
  <si>
    <t xml:space="preserve">         (власне ім'я, прізвище)       </t>
  </si>
  <si>
    <t xml:space="preserve">      (власне ім'я, прізвище)    </t>
  </si>
  <si>
    <t xml:space="preserve">Середньооблікова кількість штатних працівників:    </t>
  </si>
  <si>
    <t>м.Дніпро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</si>
</sst>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&quot;грн.&quot;_-;\-* #,##0.00\ &quot;грн.&quot;_-;_-* &quot;-&quot;??\ &quot;грн.&quot;_-;_-@_-"/>
    <numFmt numFmtId="169" formatCode="_-* #,##0.00\ _г_р_н_._-;\-* #,##0.00\ _г_р_н_._-;_-* &quot;-&quot;??\ _г_р_н_._-;_-@_-"/>
    <numFmt numFmtId="170" formatCode="0.0"/>
    <numFmt numFmtId="171" formatCode="#,##0.0"/>
    <numFmt numFmtId="172" formatCode="###\ ##0.000"/>
    <numFmt numFmtId="173" formatCode="_(&quot;$&quot;* #,##0.00_);_(&quot;$&quot;* \(#,##0.00\);_(&quot;$&quot;* &quot;-&quot;??_);_(@_)"/>
    <numFmt numFmtId="174" formatCode="_(* #,##0_);_(* \(#,##0\);_(* &quot;-&quot;_);_(@_)"/>
    <numFmt numFmtId="175" formatCode="_(* #,##0.00_);_(* \(#,##0.00\);_(* &quot;-&quot;??_);_(@_)"/>
    <numFmt numFmtId="176" formatCode="#,##0.0_ ;[Red]\-#,##0.0\ "/>
    <numFmt numFmtId="177" formatCode="0.0;\(0.0\);\ ;\-"/>
    <numFmt numFmtId="181" formatCode="#,##0.000"/>
    <numFmt numFmtId="182" formatCode="_-* #,##0_₴_-;\-* #,##0_₴_-;_-* &quot;-&quot;??_₴_-;_-@_-"/>
    <numFmt numFmtId="183" formatCode="0;\(0\);\ ;\-"/>
  </numFmts>
  <fonts count="8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6"/>
      <name val="Arial Cyr"/>
      <charset val="204"/>
    </font>
    <font>
      <sz val="18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2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000000"/>
      <name val="Times New Roman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68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1" fillId="2" borderId="0" applyNumberFormat="0" applyBorder="0" applyAlignment="0" applyProtection="0"/>
    <xf numFmtId="0" fontId="2" fillId="2" borderId="0" applyNumberFormat="0" applyBorder="0" applyAlignment="0" applyProtection="0"/>
    <xf numFmtId="0" fontId="31" fillId="3" borderId="0" applyNumberFormat="0" applyBorder="0" applyAlignment="0" applyProtection="0"/>
    <xf numFmtId="0" fontId="2" fillId="3" borderId="0" applyNumberFormat="0" applyBorder="0" applyAlignment="0" applyProtection="0"/>
    <xf numFmtId="0" fontId="31" fillId="4" borderId="0" applyNumberFormat="0" applyBorder="0" applyAlignment="0" applyProtection="0"/>
    <xf numFmtId="0" fontId="2" fillId="4" borderId="0" applyNumberFormat="0" applyBorder="0" applyAlignment="0" applyProtection="0"/>
    <xf numFmtId="0" fontId="31" fillId="5" borderId="0" applyNumberFormat="0" applyBorder="0" applyAlignment="0" applyProtection="0"/>
    <xf numFmtId="0" fontId="2" fillId="5" borderId="0" applyNumberFormat="0" applyBorder="0" applyAlignment="0" applyProtection="0"/>
    <xf numFmtId="0" fontId="31" fillId="6" borderId="0" applyNumberFormat="0" applyBorder="0" applyAlignment="0" applyProtection="0"/>
    <xf numFmtId="0" fontId="2" fillId="6" borderId="0" applyNumberFormat="0" applyBorder="0" applyAlignment="0" applyProtection="0"/>
    <xf numFmtId="0" fontId="31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1" fillId="8" borderId="0" applyNumberFormat="0" applyBorder="0" applyAlignment="0" applyProtection="0"/>
    <xf numFmtId="0" fontId="2" fillId="8" borderId="0" applyNumberFormat="0" applyBorder="0" applyAlignment="0" applyProtection="0"/>
    <xf numFmtId="0" fontId="31" fillId="9" borderId="0" applyNumberFormat="0" applyBorder="0" applyAlignment="0" applyProtection="0"/>
    <xf numFmtId="0" fontId="2" fillId="9" borderId="0" applyNumberFormat="0" applyBorder="0" applyAlignment="0" applyProtection="0"/>
    <xf numFmtId="0" fontId="31" fillId="10" borderId="0" applyNumberFormat="0" applyBorder="0" applyAlignment="0" applyProtection="0"/>
    <xf numFmtId="0" fontId="2" fillId="10" borderId="0" applyNumberFormat="0" applyBorder="0" applyAlignment="0" applyProtection="0"/>
    <xf numFmtId="0" fontId="31" fillId="5" borderId="0" applyNumberFormat="0" applyBorder="0" applyAlignment="0" applyProtection="0"/>
    <xf numFmtId="0" fontId="2" fillId="5" borderId="0" applyNumberFormat="0" applyBorder="0" applyAlignment="0" applyProtection="0"/>
    <xf numFmtId="0" fontId="31" fillId="8" borderId="0" applyNumberFormat="0" applyBorder="0" applyAlignment="0" applyProtection="0"/>
    <xf numFmtId="0" fontId="2" fillId="8" borderId="0" applyNumberFormat="0" applyBorder="0" applyAlignment="0" applyProtection="0"/>
    <xf numFmtId="0" fontId="31" fillId="11" borderId="0" applyNumberFormat="0" applyBorder="0" applyAlignment="0" applyProtection="0"/>
    <xf numFmtId="0" fontId="2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2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9" borderId="0" applyNumberFormat="0" applyBorder="0" applyAlignment="0" applyProtection="0"/>
    <xf numFmtId="0" fontId="14" fillId="9" borderId="0" applyNumberFormat="0" applyBorder="0" applyAlignment="0" applyProtection="0"/>
    <xf numFmtId="0" fontId="32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5" fillId="3" borderId="0" applyNumberFormat="0" applyBorder="0" applyAlignment="0" applyProtection="0"/>
    <xf numFmtId="0" fontId="17" fillId="20" borderId="1" applyNumberFormat="0" applyAlignment="0" applyProtection="0"/>
    <xf numFmtId="0" fontId="22" fillId="21" borderId="2" applyNumberFormat="0" applyAlignment="0" applyProtection="0"/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169" fontId="11" fillId="0" borderId="0" applyFont="0" applyFill="0" applyBorder="0" applyAlignment="0" applyProtection="0"/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0" fontId="26" fillId="0" borderId="0" applyNumberFormat="0" applyFill="0" applyBorder="0" applyAlignment="0" applyProtection="0"/>
    <xf numFmtId="172" fontId="34" fillId="0" borderId="0" applyAlignment="0">
      <alignment wrapText="1"/>
    </xf>
    <xf numFmtId="0" fontId="29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5" fillId="7" borderId="1" applyNumberFormat="0" applyAlignment="0" applyProtection="0"/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36" fillId="22" borderId="7">
      <alignment horizontal="left" vertical="center"/>
      <protection locked="0"/>
    </xf>
    <xf numFmtId="49" fontId="36" fillId="22" borderId="7">
      <alignment horizontal="left" vertical="center"/>
    </xf>
    <xf numFmtId="4" fontId="36" fillId="22" borderId="7">
      <alignment horizontal="right" vertical="center"/>
      <protection locked="0"/>
    </xf>
    <xf numFmtId="4" fontId="36" fillId="22" borderId="7">
      <alignment horizontal="right" vertical="center"/>
    </xf>
    <xf numFmtId="4" fontId="37" fillId="22" borderId="7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9" fontId="33" fillId="22" borderId="3">
      <alignment horizontal="left" vertical="center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</xf>
    <xf numFmtId="4" fontId="33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" fontId="44" fillId="0" borderId="3">
      <alignment horizontal="right" vertical="center"/>
      <protection locked="0"/>
    </xf>
    <xf numFmtId="4" fontId="44" fillId="0" borderId="3">
      <alignment horizontal="right" vertical="center"/>
    </xf>
    <xf numFmtId="4" fontId="45" fillId="0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9" fontId="44" fillId="0" borderId="3">
      <alignment horizontal="left" vertical="center"/>
      <protection locked="0"/>
    </xf>
    <xf numFmtId="49" fontId="45" fillId="0" borderId="3">
      <alignment horizontal="left" vertical="center"/>
      <protection locked="0"/>
    </xf>
    <xf numFmtId="4" fontId="44" fillId="0" borderId="3">
      <alignment horizontal="right" vertical="center"/>
      <protection locked="0"/>
    </xf>
    <xf numFmtId="0" fontId="27" fillId="0" borderId="8" applyNumberFormat="0" applyFill="0" applyAlignment="0" applyProtection="0"/>
    <xf numFmtId="0" fontId="24" fillId="23" borderId="0" applyNumberFormat="0" applyBorder="0" applyAlignment="0" applyProtection="0"/>
    <xf numFmtId="0" fontId="11" fillId="0" borderId="0"/>
    <xf numFmtId="0" fontId="11" fillId="0" borderId="0"/>
    <xf numFmtId="0" fontId="11" fillId="24" borderId="0" applyNumberFormat="0" applyFill="0" applyAlignment="0">
      <alignment horizontal="center"/>
      <protection locked="0"/>
    </xf>
    <xf numFmtId="0" fontId="3" fillId="25" borderId="9" applyNumberFormat="0" applyFont="0" applyAlignment="0" applyProtection="0"/>
    <xf numFmtId="4" fontId="48" fillId="26" borderId="3">
      <alignment horizontal="right" vertical="center"/>
      <protection locked="0"/>
    </xf>
    <xf numFmtId="4" fontId="48" fillId="27" borderId="3">
      <alignment horizontal="right" vertical="center"/>
      <protection locked="0"/>
    </xf>
    <xf numFmtId="4" fontId="48" fillId="28" borderId="3">
      <alignment horizontal="right" vertical="center"/>
      <protection locked="0"/>
    </xf>
    <xf numFmtId="0" fontId="16" fillId="20" borderId="10" applyNumberFormat="0" applyAlignment="0" applyProtection="0"/>
    <xf numFmtId="49" fontId="33" fillId="0" borderId="3">
      <alignment horizontal="left" vertical="center" wrapText="1"/>
      <protection locked="0"/>
    </xf>
    <xf numFmtId="49" fontId="33" fillId="0" borderId="3">
      <alignment horizontal="left" vertical="center" wrapText="1"/>
      <protection locked="0"/>
    </xf>
    <xf numFmtId="0" fontId="23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32" fillId="16" borderId="0" applyNumberFormat="0" applyBorder="0" applyAlignment="0" applyProtection="0"/>
    <xf numFmtId="0" fontId="14" fillId="16" borderId="0" applyNumberFormat="0" applyBorder="0" applyAlignment="0" applyProtection="0"/>
    <xf numFmtId="0" fontId="32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18" borderId="0" applyNumberFormat="0" applyBorder="0" applyAlignment="0" applyProtection="0"/>
    <xf numFmtId="0" fontId="14" fillId="18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9" borderId="0" applyNumberFormat="0" applyBorder="0" applyAlignment="0" applyProtection="0"/>
    <xf numFmtId="0" fontId="14" fillId="19" borderId="0" applyNumberFormat="0" applyBorder="0" applyAlignment="0" applyProtection="0"/>
    <xf numFmtId="0" fontId="49" fillId="7" borderId="1" applyNumberFormat="0" applyAlignment="0" applyProtection="0"/>
    <xf numFmtId="0" fontId="15" fillId="7" borderId="1" applyNumberFormat="0" applyAlignment="0" applyProtection="0"/>
    <xf numFmtId="0" fontId="50" fillId="20" borderId="10" applyNumberFormat="0" applyAlignment="0" applyProtection="0"/>
    <xf numFmtId="0" fontId="16" fillId="20" borderId="10" applyNumberFormat="0" applyAlignment="0" applyProtection="0"/>
    <xf numFmtId="0" fontId="51" fillId="20" borderId="1" applyNumberFormat="0" applyAlignment="0" applyProtection="0"/>
    <xf numFmtId="0" fontId="17" fillId="20" borderId="1" applyNumberFormat="0" applyAlignment="0" applyProtection="0"/>
    <xf numFmtId="173" fontId="11" fillId="0" borderId="0" applyFont="0" applyFill="0" applyBorder="0" applyAlignment="0" applyProtection="0"/>
    <xf numFmtId="0" fontId="52" fillId="0" borderId="4" applyNumberFormat="0" applyFill="0" applyAlignment="0" applyProtection="0"/>
    <xf numFmtId="0" fontId="18" fillId="0" borderId="4" applyNumberFormat="0" applyFill="0" applyAlignment="0" applyProtection="0"/>
    <xf numFmtId="0" fontId="53" fillId="0" borderId="5" applyNumberFormat="0" applyFill="0" applyAlignment="0" applyProtection="0"/>
    <xf numFmtId="0" fontId="19" fillId="0" borderId="5" applyNumberFormat="0" applyFill="0" applyAlignment="0" applyProtection="0"/>
    <xf numFmtId="0" fontId="54" fillId="0" borderId="6" applyNumberFormat="0" applyFill="0" applyAlignment="0" applyProtection="0"/>
    <xf numFmtId="0" fontId="20" fillId="0" borderId="6" applyNumberFormat="0" applyFill="0" applyAlignment="0" applyProtection="0"/>
    <xf numFmtId="0" fontId="5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5" fillId="0" borderId="11" applyNumberFormat="0" applyFill="0" applyAlignment="0" applyProtection="0"/>
    <xf numFmtId="0" fontId="21" fillId="0" borderId="11" applyNumberFormat="0" applyFill="0" applyAlignment="0" applyProtection="0"/>
    <xf numFmtId="0" fontId="56" fillId="21" borderId="2" applyNumberFormat="0" applyAlignment="0" applyProtection="0"/>
    <xf numFmtId="0" fontId="22" fillId="21" borderId="2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3" borderId="0" applyNumberFormat="0" applyBorder="0" applyAlignment="0" applyProtection="0"/>
    <xf numFmtId="0" fontId="24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2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2" fillId="0" borderId="0"/>
    <xf numFmtId="0" fontId="77" fillId="0" borderId="0"/>
    <xf numFmtId="0" fontId="11" fillId="0" borderId="0"/>
    <xf numFmtId="0" fontId="3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58" fillId="3" borderId="0" applyNumberFormat="0" applyBorder="0" applyAlignment="0" applyProtection="0"/>
    <xf numFmtId="0" fontId="25" fillId="3" borderId="0" applyNumberFormat="0" applyBorder="0" applyAlignment="0" applyProtection="0"/>
    <xf numFmtId="0" fontId="5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5" borderId="9" applyNumberFormat="0" applyFont="0" applyAlignment="0" applyProtection="0"/>
    <xf numFmtId="0" fontId="11" fillId="25" borderId="9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1" fillId="0" borderId="8" applyNumberFormat="0" applyFill="0" applyAlignment="0" applyProtection="0"/>
    <xf numFmtId="0" fontId="27" fillId="0" borderId="8" applyNumberFormat="0" applyFill="0" applyAlignment="0" applyProtection="0"/>
    <xf numFmtId="0" fontId="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4" fontId="64" fillId="0" borderId="0" applyFont="0" applyFill="0" applyBorder="0" applyAlignment="0" applyProtection="0"/>
    <xf numFmtId="175" fontId="6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65" fillId="4" borderId="0" applyNumberFormat="0" applyBorder="0" applyAlignment="0" applyProtection="0"/>
    <xf numFmtId="0" fontId="29" fillId="4" borderId="0" applyNumberFormat="0" applyBorder="0" applyAlignment="0" applyProtection="0"/>
    <xf numFmtId="177" fontId="66" fillId="22" borderId="12" applyFill="0" applyBorder="0">
      <alignment horizontal="center" vertical="center" wrapText="1"/>
      <protection locked="0"/>
    </xf>
    <xf numFmtId="172" fontId="67" fillId="0" borderId="0">
      <alignment wrapText="1"/>
    </xf>
    <xf numFmtId="172" fontId="34" fillId="0" borderId="0">
      <alignment wrapText="1"/>
    </xf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85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171" fontId="6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right" vertical="center"/>
    </xf>
    <xf numFmtId="0" fontId="10" fillId="0" borderId="0" xfId="0" applyFont="1" applyFill="1"/>
    <xf numFmtId="0" fontId="6" fillId="0" borderId="3" xfId="237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horizontal="center" vertical="center" wrapText="1"/>
    </xf>
    <xf numFmtId="0" fontId="6" fillId="0" borderId="0" xfId="245" applyFont="1" applyFill="1" applyBorder="1" applyAlignment="1">
      <alignment vertical="center"/>
    </xf>
    <xf numFmtId="0" fontId="6" fillId="0" borderId="3" xfId="245" applyFont="1" applyFill="1" applyBorder="1" applyAlignment="1">
      <alignment horizontal="left" vertical="center" wrapText="1"/>
    </xf>
    <xf numFmtId="0" fontId="5" fillId="0" borderId="0" xfId="245" applyFont="1" applyFill="1" applyBorder="1" applyAlignment="1">
      <alignment vertical="center"/>
    </xf>
    <xf numFmtId="0" fontId="6" fillId="0" borderId="0" xfId="245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6" fillId="0" borderId="3" xfId="245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left" vertical="center" wrapText="1"/>
    </xf>
    <xf numFmtId="0" fontId="13" fillId="0" borderId="0" xfId="245" applyFont="1" applyFill="1"/>
    <xf numFmtId="0" fontId="6" fillId="0" borderId="0" xfId="245" applyFont="1" applyFill="1" applyBorder="1" applyAlignment="1">
      <alignment vertical="center" wrapText="1"/>
    </xf>
    <xf numFmtId="0" fontId="5" fillId="0" borderId="3" xfId="237" applyFont="1" applyFill="1" applyBorder="1" applyAlignment="1">
      <alignment horizontal="left" vertical="center"/>
    </xf>
    <xf numFmtId="0" fontId="6" fillId="0" borderId="0" xfId="0" applyFont="1" applyFill="1"/>
    <xf numFmtId="0" fontId="5" fillId="0" borderId="0" xfId="0" applyFont="1" applyFill="1" applyBorder="1" applyAlignment="1" applyProtection="1">
      <alignment horizontal="left" vertical="center"/>
      <protection locked="0"/>
    </xf>
    <xf numFmtId="0" fontId="6" fillId="0" borderId="3" xfId="0" quotePrefix="1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left" vertical="center" wrapText="1"/>
    </xf>
    <xf numFmtId="0" fontId="6" fillId="0" borderId="3" xfId="237" applyNumberFormat="1" applyFont="1" applyFill="1" applyBorder="1" applyAlignment="1">
      <alignment horizontal="left" vertical="center" wrapText="1"/>
    </xf>
    <xf numFmtId="0" fontId="6" fillId="0" borderId="3" xfId="237" applyNumberFormat="1" applyFont="1" applyFill="1" applyBorder="1" applyAlignment="1">
      <alignment horizontal="center" vertical="center" wrapText="1"/>
    </xf>
    <xf numFmtId="0" fontId="6" fillId="0" borderId="3" xfId="237" applyFont="1" applyFill="1" applyBorder="1" applyAlignment="1">
      <alignment horizontal="center" vertical="center" wrapText="1"/>
    </xf>
    <xf numFmtId="49" fontId="6" fillId="0" borderId="3" xfId="237" applyNumberFormat="1" applyFont="1" applyFill="1" applyBorder="1" applyAlignment="1">
      <alignment horizontal="left" vertical="center" wrapText="1"/>
    </xf>
    <xf numFmtId="0" fontId="6" fillId="0" borderId="3" xfId="237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3" xfId="182" applyFont="1" applyFill="1" applyBorder="1" applyAlignment="1" applyProtection="1">
      <alignment vertical="center" wrapText="1"/>
    </xf>
    <xf numFmtId="0" fontId="5" fillId="0" borderId="3" xfId="182" applyFont="1" applyFill="1" applyBorder="1" applyAlignment="1" applyProtection="1">
      <alignment vertical="center" wrapText="1"/>
    </xf>
    <xf numFmtId="0" fontId="5" fillId="0" borderId="3" xfId="0" applyFont="1" applyFill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vertical="center" wrapText="1"/>
    </xf>
    <xf numFmtId="0" fontId="6" fillId="0" borderId="3" xfId="245" applyFont="1" applyFill="1" applyBorder="1" applyAlignment="1" applyProtection="1">
      <alignment horizontal="left" vertical="center" wrapText="1"/>
    </xf>
    <xf numFmtId="0" fontId="5" fillId="0" borderId="3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vertical="center"/>
      <protection locked="0"/>
    </xf>
    <xf numFmtId="0" fontId="68" fillId="0" borderId="0" xfId="0" applyFont="1" applyAlignment="1" applyProtection="1">
      <alignment vertical="top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9" fillId="0" borderId="14" xfId="0" applyFont="1" applyFill="1" applyBorder="1" applyAlignment="1" applyProtection="1">
      <alignment vertical="center"/>
      <protection locked="0"/>
    </xf>
    <xf numFmtId="0" fontId="69" fillId="0" borderId="15" xfId="0" applyFont="1" applyFill="1" applyBorder="1" applyAlignment="1" applyProtection="1">
      <alignment vertical="center"/>
      <protection locked="0"/>
    </xf>
    <xf numFmtId="0" fontId="69" fillId="0" borderId="16" xfId="0" applyFont="1" applyFill="1" applyBorder="1" applyAlignment="1" applyProtection="1">
      <alignment vertical="center"/>
      <protection locked="0"/>
    </xf>
    <xf numFmtId="0" fontId="69" fillId="0" borderId="3" xfId="0" applyFont="1" applyFill="1" applyBorder="1" applyAlignment="1" applyProtection="1">
      <alignment horizontal="center" vertical="center"/>
      <protection locked="0"/>
    </xf>
    <xf numFmtId="0" fontId="69" fillId="0" borderId="14" xfId="0" applyFont="1" applyFill="1" applyBorder="1" applyAlignment="1" applyProtection="1">
      <alignment horizontal="left" vertical="center" wrapText="1"/>
      <protection locked="0"/>
    </xf>
    <xf numFmtId="0" fontId="69" fillId="0" borderId="15" xfId="0" applyFont="1" applyFill="1" applyBorder="1" applyAlignment="1" applyProtection="1">
      <alignment vertical="center" wrapText="1"/>
      <protection locked="0"/>
    </xf>
    <xf numFmtId="0" fontId="69" fillId="0" borderId="16" xfId="0" applyFont="1" applyFill="1" applyBorder="1" applyAlignment="1" applyProtection="1">
      <alignment vertical="center" wrapText="1"/>
      <protection locked="0"/>
    </xf>
    <xf numFmtId="0" fontId="69" fillId="0" borderId="3" xfId="0" applyFont="1" applyFill="1" applyBorder="1" applyAlignment="1" applyProtection="1">
      <alignment vertical="center" wrapText="1"/>
      <protection locked="0"/>
    </xf>
    <xf numFmtId="171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quotePrefix="1" applyFont="1" applyFill="1" applyBorder="1" applyAlignment="1" applyProtection="1">
      <alignment horizontal="center" vertical="center"/>
      <protection locked="0"/>
    </xf>
    <xf numFmtId="171" fontId="7" fillId="0" borderId="0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5" fillId="0" borderId="0" xfId="0" quotePrefix="1" applyFont="1" applyFill="1" applyBorder="1" applyAlignment="1" applyProtection="1">
      <alignment horizontal="center"/>
      <protection locked="0"/>
    </xf>
    <xf numFmtId="171" fontId="5" fillId="0" borderId="0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0" borderId="0" xfId="245" applyFont="1" applyFill="1" applyBorder="1" applyAlignment="1" applyProtection="1">
      <alignment horizontal="left" vertical="center" wrapText="1"/>
      <protection locked="0"/>
    </xf>
    <xf numFmtId="0" fontId="6" fillId="0" borderId="0" xfId="245" applyFont="1" applyFill="1" applyBorder="1" applyAlignment="1" applyProtection="1">
      <alignment horizontal="center" vertical="center"/>
      <protection locked="0"/>
    </xf>
    <xf numFmtId="171" fontId="6" fillId="0" borderId="0" xfId="245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quotePrefix="1" applyFont="1" applyFill="1" applyBorder="1" applyAlignment="1" applyProtection="1">
      <alignment horizontal="center" vertical="center"/>
      <protection locked="0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 wrapText="1"/>
      <protection locked="0"/>
    </xf>
    <xf numFmtId="171" fontId="6" fillId="0" borderId="3" xfId="237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237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Protection="1">
      <protection locked="0"/>
    </xf>
    <xf numFmtId="0" fontId="6" fillId="0" borderId="3" xfId="245" applyFont="1" applyFill="1" applyBorder="1" applyAlignment="1" applyProtection="1">
      <alignment horizontal="left" vertical="center" wrapText="1"/>
      <protection locked="0"/>
    </xf>
    <xf numFmtId="0" fontId="6" fillId="0" borderId="3" xfId="245" applyFont="1" applyFill="1" applyBorder="1" applyAlignment="1" applyProtection="1">
      <alignment horizontal="center" vertical="center" wrapText="1"/>
      <protection locked="0"/>
    </xf>
    <xf numFmtId="1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3" xfId="0" applyFont="1" applyFill="1" applyBorder="1" applyAlignment="1" applyProtection="1">
      <alignment vertical="center"/>
      <protection locked="0"/>
    </xf>
    <xf numFmtId="0" fontId="8" fillId="0" borderId="17" xfId="0" applyFont="1" applyFill="1" applyBorder="1" applyAlignment="1" applyProtection="1">
      <alignment vertical="center"/>
      <protection locked="0"/>
    </xf>
    <xf numFmtId="1" fontId="6" fillId="0" borderId="0" xfId="0" applyNumberFormat="1" applyFont="1" applyFill="1" applyAlignment="1">
      <alignment vertical="center"/>
    </xf>
    <xf numFmtId="1" fontId="6" fillId="0" borderId="0" xfId="245" applyNumberFormat="1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4" fontId="6" fillId="0" borderId="3" xfId="237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vertical="center"/>
    </xf>
    <xf numFmtId="1" fontId="6" fillId="29" borderId="3" xfId="0" applyNumberFormat="1" applyFont="1" applyFill="1" applyBorder="1" applyAlignment="1" applyProtection="1">
      <alignment horizontal="center" vertical="center" wrapText="1"/>
    </xf>
    <xf numFmtId="1" fontId="6" fillId="29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4" xfId="0" applyNumberFormat="1" applyFont="1" applyFill="1" applyBorder="1" applyAlignment="1">
      <alignment horizontal="left" vertical="center" wrapText="1"/>
    </xf>
    <xf numFmtId="0" fontId="69" fillId="0" borderId="3" xfId="0" applyFont="1" applyFill="1" applyBorder="1" applyAlignment="1" applyProtection="1">
      <alignment horizontal="left" vertical="center"/>
      <protection locked="0"/>
    </xf>
    <xf numFmtId="0" fontId="8" fillId="0" borderId="3" xfId="0" applyFont="1" applyFill="1" applyBorder="1" applyAlignment="1" applyProtection="1">
      <alignment horizontal="left" vertical="center" wrapText="1"/>
      <protection locked="0"/>
    </xf>
    <xf numFmtId="171" fontId="80" fillId="0" borderId="3" xfId="237" applyNumberFormat="1" applyFont="1" applyFill="1" applyBorder="1" applyAlignment="1">
      <alignment horizontal="center" vertical="center" wrapText="1"/>
    </xf>
    <xf numFmtId="171" fontId="80" fillId="0" borderId="3" xfId="237" applyNumberFormat="1" applyFont="1" applyFill="1" applyBorder="1" applyAlignment="1" applyProtection="1">
      <alignment horizontal="center" vertical="center" wrapText="1"/>
      <protection locked="0"/>
    </xf>
    <xf numFmtId="0" fontId="75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81" fillId="0" borderId="3" xfId="0" applyFont="1" applyFill="1" applyBorder="1" applyAlignment="1">
      <alignment horizontal="left" vertical="center" wrapText="1"/>
    </xf>
    <xf numFmtId="49" fontId="6" fillId="0" borderId="14" xfId="0" applyNumberFormat="1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 vertical="center"/>
    </xf>
    <xf numFmtId="49" fontId="75" fillId="0" borderId="14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 shrinkToFit="1"/>
    </xf>
    <xf numFmtId="1" fontId="6" fillId="0" borderId="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29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29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4" fontId="6" fillId="29" borderId="3" xfId="237" applyNumberFormat="1" applyFont="1" applyFill="1" applyBorder="1" applyAlignment="1">
      <alignment horizontal="center" vertical="center" wrapText="1"/>
    </xf>
    <xf numFmtId="181" fontId="6" fillId="29" borderId="3" xfId="237" applyNumberFormat="1" applyFont="1" applyFill="1" applyBorder="1" applyAlignment="1">
      <alignment horizontal="center" vertical="center" wrapText="1"/>
    </xf>
    <xf numFmtId="171" fontId="6" fillId="29" borderId="3" xfId="237" applyNumberFormat="1" applyFont="1" applyFill="1" applyBorder="1" applyAlignment="1">
      <alignment horizontal="center" vertical="center" wrapText="1"/>
    </xf>
    <xf numFmtId="181" fontId="6" fillId="0" borderId="3" xfId="237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vertical="center"/>
    </xf>
    <xf numFmtId="49" fontId="82" fillId="0" borderId="14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171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6" fillId="29" borderId="0" xfId="0" applyFont="1" applyFill="1" applyAlignment="1">
      <alignment vertical="center"/>
    </xf>
    <xf numFmtId="2" fontId="6" fillId="29" borderId="3" xfId="0" applyNumberFormat="1" applyFont="1" applyFill="1" applyBorder="1" applyAlignment="1" applyProtection="1">
      <alignment horizontal="center" vertical="center" wrapText="1"/>
    </xf>
    <xf numFmtId="164" fontId="6" fillId="0" borderId="0" xfId="353" applyFont="1" applyFill="1" applyAlignment="1">
      <alignment vertical="center"/>
    </xf>
    <xf numFmtId="170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69" fillId="0" borderId="15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70" fillId="0" borderId="0" xfId="0" applyFont="1" applyAlignment="1" applyProtection="1">
      <alignment vertical="top" wrapText="1"/>
      <protection locked="0"/>
    </xf>
    <xf numFmtId="0" fontId="8" fillId="0" borderId="13" xfId="0" applyFont="1" applyFill="1" applyBorder="1" applyAlignment="1" applyProtection="1">
      <alignment vertical="center" wrapText="1"/>
      <protection locked="0"/>
    </xf>
    <xf numFmtId="0" fontId="73" fillId="0" borderId="20" xfId="0" applyFont="1" applyBorder="1" applyAlignment="1">
      <alignment horizontal="center" vertical="center" wrapText="1"/>
    </xf>
    <xf numFmtId="0" fontId="73" fillId="0" borderId="19" xfId="0" applyFont="1" applyBorder="1" applyAlignment="1">
      <alignment horizontal="center" vertical="center"/>
    </xf>
    <xf numFmtId="0" fontId="73" fillId="0" borderId="19" xfId="0" applyFont="1" applyBorder="1" applyAlignment="1">
      <alignment horizontal="center" vertical="center" wrapText="1"/>
    </xf>
    <xf numFmtId="3" fontId="6" fillId="0" borderId="19" xfId="0" applyNumberFormat="1" applyFont="1" applyBorder="1" applyAlignment="1">
      <alignment horizontal="center" vertical="center" wrapText="1"/>
    </xf>
    <xf numFmtId="171" fontId="6" fillId="0" borderId="19" xfId="0" applyNumberFormat="1" applyFont="1" applyBorder="1" applyAlignment="1">
      <alignment horizontal="center" vertical="center" wrapText="1"/>
    </xf>
    <xf numFmtId="181" fontId="6" fillId="0" borderId="19" xfId="0" applyNumberFormat="1" applyFont="1" applyBorder="1" applyAlignment="1">
      <alignment horizontal="center" vertical="center" wrapText="1"/>
    </xf>
    <xf numFmtId="3" fontId="6" fillId="0" borderId="19" xfId="0" applyNumberFormat="1" applyFont="1" applyFill="1" applyBorder="1" applyAlignment="1">
      <alignment horizontal="center" vertical="center" wrapText="1"/>
    </xf>
    <xf numFmtId="171" fontId="6" fillId="0" borderId="19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80" fillId="0" borderId="0" xfId="0" applyFont="1" applyFill="1" applyBorder="1" applyAlignment="1">
      <alignment vertical="center"/>
    </xf>
    <xf numFmtId="1" fontId="6" fillId="0" borderId="3" xfId="0" applyNumberFormat="1" applyFont="1" applyFill="1" applyBorder="1" applyAlignment="1" applyProtection="1">
      <alignment horizontal="center" vertical="center" wrapText="1"/>
    </xf>
    <xf numFmtId="183" fontId="6" fillId="0" borderId="3" xfId="350" applyNumberFormat="1" applyFont="1" applyFill="1" applyBorder="1">
      <alignment horizontal="center" vertical="center" wrapText="1"/>
      <protection locked="0"/>
    </xf>
    <xf numFmtId="1" fontId="5" fillId="0" borderId="0" xfId="0" applyNumberFormat="1" applyFont="1" applyFill="1" applyBorder="1" applyAlignment="1">
      <alignment vertical="center"/>
    </xf>
    <xf numFmtId="0" fontId="6" fillId="0" borderId="19" xfId="0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5" fillId="0" borderId="0" xfId="245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vertical="center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vertical="center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1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/>
      <protection locked="0"/>
    </xf>
    <xf numFmtId="1" fontId="6" fillId="0" borderId="19" xfId="0" applyNumberFormat="1" applyFont="1" applyFill="1" applyBorder="1" applyAlignment="1">
      <alignment horizontal="center" vertical="center" wrapText="1"/>
    </xf>
    <xf numFmtId="171" fontId="5" fillId="0" borderId="0" xfId="0" quotePrefix="1" applyNumberFormat="1" applyFont="1" applyFill="1" applyBorder="1" applyAlignment="1" applyProtection="1">
      <alignment horizontal="center"/>
      <protection locked="0"/>
    </xf>
    <xf numFmtId="171" fontId="6" fillId="0" borderId="0" xfId="0" applyNumberFormat="1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1" fontId="78" fillId="0" borderId="0" xfId="0" applyNumberFormat="1" applyFont="1" applyFill="1" applyBorder="1" applyAlignment="1">
      <alignment horizontal="center" vertical="center" wrapText="1"/>
    </xf>
    <xf numFmtId="0" fontId="5" fillId="0" borderId="3" xfId="245" applyFont="1" applyFill="1" applyBorder="1" applyAlignment="1" applyProtection="1">
      <alignment horizontal="left" vertical="center" wrapText="1"/>
      <protection locked="0"/>
    </xf>
    <xf numFmtId="0" fontId="5" fillId="0" borderId="3" xfId="245" applyFont="1" applyFill="1" applyBorder="1" applyAlignment="1" applyProtection="1">
      <alignment horizontal="center" vertical="center" wrapText="1"/>
      <protection locked="0"/>
    </xf>
    <xf numFmtId="171" fontId="6" fillId="0" borderId="0" xfId="245" applyNumberFormat="1" applyFont="1" applyFill="1" applyBorder="1" applyAlignment="1" applyProtection="1">
      <alignment horizontal="center" vertical="center" wrapText="1"/>
      <protection locked="0"/>
    </xf>
    <xf numFmtId="1" fontId="5" fillId="0" borderId="0" xfId="0" applyNumberFormat="1" applyFont="1" applyFill="1" applyBorder="1" applyAlignment="1">
      <alignment horizontal="center" vertical="center" wrapText="1"/>
    </xf>
    <xf numFmtId="49" fontId="6" fillId="0" borderId="22" xfId="0" applyNumberFormat="1" applyFont="1" applyFill="1" applyBorder="1" applyAlignment="1">
      <alignment horizontal="center" vertical="center"/>
    </xf>
    <xf numFmtId="49" fontId="6" fillId="0" borderId="19" xfId="0" applyNumberFormat="1" applyFont="1" applyFill="1" applyBorder="1" applyAlignment="1">
      <alignment horizontal="center" vertical="center"/>
    </xf>
    <xf numFmtId="49" fontId="6" fillId="0" borderId="20" xfId="0" applyNumberFormat="1" applyFont="1" applyFill="1" applyBorder="1" applyAlignment="1">
      <alignment horizontal="center" vertical="center"/>
    </xf>
    <xf numFmtId="1" fontId="8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2" fillId="0" borderId="16" xfId="0" applyFont="1" applyFill="1" applyBorder="1" applyAlignment="1">
      <alignment vertical="center" wrapText="1"/>
    </xf>
    <xf numFmtId="0" fontId="5" fillId="0" borderId="3" xfId="0" quotePrefix="1" applyFont="1" applyFill="1" applyBorder="1" applyAlignment="1" applyProtection="1">
      <alignment horizontal="center" vertical="center"/>
      <protection locked="0"/>
    </xf>
    <xf numFmtId="17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vertical="center"/>
    </xf>
    <xf numFmtId="1" fontId="6" fillId="0" borderId="20" xfId="0" applyNumberFormat="1" applyFont="1" applyBorder="1" applyAlignment="1">
      <alignment horizontal="center" vertical="center" wrapText="1"/>
    </xf>
    <xf numFmtId="1" fontId="5" fillId="29" borderId="3" xfId="0" applyNumberFormat="1" applyFont="1" applyFill="1" applyBorder="1" applyAlignment="1" applyProtection="1">
      <alignment horizontal="left" vertical="center" wrapText="1"/>
      <protection locked="0"/>
    </xf>
    <xf numFmtId="1" fontId="5" fillId="29" borderId="3" xfId="0" quotePrefix="1" applyNumberFormat="1" applyFont="1" applyFill="1" applyBorder="1" applyAlignment="1">
      <alignment horizontal="center" vertical="center"/>
    </xf>
    <xf numFmtId="1" fontId="5" fillId="0" borderId="19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Border="1" applyAlignment="1">
      <alignment horizontal="center" vertical="center" wrapText="1"/>
    </xf>
    <xf numFmtId="1" fontId="6" fillId="29" borderId="3" xfId="0" applyNumberFormat="1" applyFont="1" applyFill="1" applyBorder="1" applyAlignment="1" applyProtection="1">
      <alignment horizontal="left" vertical="center" wrapText="1"/>
      <protection locked="0"/>
    </xf>
    <xf numFmtId="1" fontId="6" fillId="29" borderId="3" xfId="0" applyNumberFormat="1" applyFont="1" applyFill="1" applyBorder="1" applyAlignment="1">
      <alignment horizontal="center" vertical="center"/>
    </xf>
    <xf numFmtId="1" fontId="6" fillId="0" borderId="19" xfId="0" applyNumberFormat="1" applyFont="1" applyBorder="1" applyAlignment="1">
      <alignment horizontal="center" vertical="center" wrapText="1"/>
    </xf>
    <xf numFmtId="1" fontId="6" fillId="0" borderId="3" xfId="0" applyNumberFormat="1" applyFont="1" applyFill="1" applyBorder="1" applyAlignment="1" applyProtection="1">
      <alignment horizontal="left" vertical="center" wrapText="1"/>
      <protection locked="0"/>
    </xf>
    <xf numFmtId="1" fontId="5" fillId="0" borderId="3" xfId="0" applyNumberFormat="1" applyFont="1" applyFill="1" applyBorder="1" applyAlignment="1" applyProtection="1">
      <alignment horizontal="left" vertical="center" wrapText="1"/>
      <protection locked="0"/>
    </xf>
    <xf numFmtId="1" fontId="6" fillId="0" borderId="3" xfId="0" quotePrefix="1" applyNumberFormat="1" applyFont="1" applyFill="1" applyBorder="1" applyAlignment="1">
      <alignment horizontal="center" vertical="center"/>
    </xf>
    <xf numFmtId="1" fontId="79" fillId="29" borderId="3" xfId="0" applyNumberFormat="1" applyFont="1" applyFill="1" applyBorder="1" applyAlignment="1" applyProtection="1">
      <alignment horizontal="left" vertical="center" wrapText="1"/>
      <protection locked="0"/>
    </xf>
    <xf numFmtId="1" fontId="79" fillId="29" borderId="3" xfId="0" quotePrefix="1" applyNumberFormat="1" applyFont="1" applyFill="1" applyBorder="1" applyAlignment="1">
      <alignment horizontal="center" vertical="center"/>
    </xf>
    <xf numFmtId="1" fontId="6" fillId="29" borderId="3" xfId="0" quotePrefix="1" applyNumberFormat="1" applyFont="1" applyFill="1" applyBorder="1" applyAlignment="1">
      <alignment horizontal="center" vertical="center"/>
    </xf>
    <xf numFmtId="1" fontId="5" fillId="0" borderId="3" xfId="0" quotePrefix="1" applyNumberFormat="1" applyFont="1" applyFill="1" applyBorder="1" applyAlignment="1">
      <alignment horizontal="center" vertical="center"/>
    </xf>
    <xf numFmtId="1" fontId="5" fillId="29" borderId="3" xfId="0" applyNumberFormat="1" applyFont="1" applyFill="1" applyBorder="1" applyAlignment="1" applyProtection="1">
      <alignment horizontal="left" vertical="center" wrapText="1" shrinkToFit="1"/>
      <protection locked="0"/>
    </xf>
    <xf numFmtId="1" fontId="6" fillId="0" borderId="3" xfId="0" quotePrefix="1" applyNumberFormat="1" applyFont="1" applyFill="1" applyBorder="1" applyAlignment="1" applyProtection="1">
      <alignment horizontal="center" vertical="center"/>
      <protection locked="0"/>
    </xf>
    <xf numFmtId="1" fontId="6" fillId="29" borderId="3" xfId="0" applyNumberFormat="1" applyFont="1" applyFill="1" applyBorder="1" applyAlignment="1" applyProtection="1">
      <alignment horizontal="center" vertical="center"/>
      <protection locked="0"/>
    </xf>
    <xf numFmtId="1" fontId="6" fillId="0" borderId="21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vertical="center" wrapText="1"/>
    </xf>
    <xf numFmtId="1" fontId="5" fillId="0" borderId="15" xfId="0" applyNumberFormat="1" applyFont="1" applyFill="1" applyBorder="1" applyAlignment="1">
      <alignment vertical="center" wrapText="1"/>
    </xf>
    <xf numFmtId="1" fontId="5" fillId="0" borderId="16" xfId="0" applyNumberFormat="1" applyFont="1" applyFill="1" applyBorder="1" applyAlignment="1">
      <alignment vertical="center" wrapText="1"/>
    </xf>
    <xf numFmtId="1" fontId="6" fillId="0" borderId="3" xfId="182" applyNumberFormat="1" applyFont="1" applyFill="1" applyBorder="1" applyAlignment="1">
      <alignment horizontal="left" vertical="center" wrapText="1"/>
      <protection locked="0"/>
    </xf>
    <xf numFmtId="1" fontId="6" fillId="0" borderId="3" xfId="0" applyNumberFormat="1" applyFont="1" applyFill="1" applyBorder="1" applyAlignment="1">
      <alignment horizontal="left" vertical="center" wrapText="1"/>
    </xf>
    <xf numFmtId="1" fontId="5" fillId="0" borderId="3" xfId="0" applyNumberFormat="1" applyFont="1" applyFill="1" applyBorder="1" applyAlignment="1">
      <alignment horizontal="left" vertical="center" wrapText="1"/>
    </xf>
    <xf numFmtId="1" fontId="5" fillId="0" borderId="3" xfId="0" quotePrefix="1" applyNumberFormat="1" applyFont="1" applyFill="1" applyBorder="1" applyAlignment="1">
      <alignment horizontal="center" vertical="center" wrapText="1"/>
    </xf>
    <xf numFmtId="1" fontId="6" fillId="0" borderId="3" xfId="0" quotePrefix="1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 applyProtection="1">
      <alignment horizontal="center" wrapText="1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4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1" fontId="69" fillId="0" borderId="0" xfId="0" applyNumberFormat="1" applyFont="1" applyFill="1" applyBorder="1" applyAlignment="1">
      <alignment horizontal="center" vertical="center" wrapText="1"/>
    </xf>
    <xf numFmtId="0" fontId="5" fillId="29" borderId="3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vertical="center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>
      <alignment horizontal="center" vertical="center"/>
    </xf>
    <xf numFmtId="0" fontId="82" fillId="0" borderId="3" xfId="0" applyFont="1" applyFill="1" applyBorder="1" applyAlignment="1">
      <alignment horizontal="left" vertical="center" wrapText="1"/>
    </xf>
    <xf numFmtId="14" fontId="6" fillId="0" borderId="3" xfId="0" applyNumberFormat="1" applyFont="1" applyFill="1" applyBorder="1" applyAlignment="1">
      <alignment horizontal="center" vertical="center"/>
    </xf>
    <xf numFmtId="171" fontId="6" fillId="0" borderId="23" xfId="0" applyNumberFormat="1" applyFont="1" applyFill="1" applyBorder="1" applyAlignment="1" applyProtection="1">
      <alignment horizontal="left" vertical="center" wrapText="1"/>
      <protection locked="0"/>
    </xf>
    <xf numFmtId="1" fontId="5" fillId="0" borderId="0" xfId="0" applyNumberFormat="1" applyFont="1" applyFill="1" applyAlignment="1">
      <alignment vertical="center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6" fillId="29" borderId="3" xfId="0" applyNumberFormat="1" applyFont="1" applyFill="1" applyBorder="1" applyAlignment="1" applyProtection="1">
      <alignment horizontal="center" vertical="center" wrapText="1"/>
      <protection locked="0"/>
    </xf>
    <xf numFmtId="1" fontId="7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29" borderId="3" xfId="0" applyFont="1" applyFill="1" applyBorder="1" applyAlignment="1">
      <alignment horizontal="left" vertical="center" wrapText="1"/>
    </xf>
    <xf numFmtId="0" fontId="8" fillId="29" borderId="3" xfId="0" applyFont="1" applyFill="1" applyBorder="1" applyAlignment="1">
      <alignment horizontal="left" vertical="center" wrapText="1"/>
    </xf>
    <xf numFmtId="0" fontId="75" fillId="29" borderId="3" xfId="0" applyFont="1" applyFill="1" applyBorder="1" applyAlignment="1">
      <alignment horizontal="left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3" xfId="245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" fontId="6" fillId="0" borderId="3" xfId="0" applyNumberFormat="1" applyFont="1" applyFill="1" applyBorder="1" applyAlignment="1" applyProtection="1">
      <alignment horizontal="center" vertical="top" wrapText="1"/>
      <protection locked="0"/>
    </xf>
    <xf numFmtId="1" fontId="6" fillId="0" borderId="3" xfId="0" applyNumberFormat="1" applyFont="1" applyFill="1" applyBorder="1" applyAlignment="1">
      <alignment horizontal="center" vertical="center" wrapText="1"/>
    </xf>
    <xf numFmtId="1" fontId="5" fillId="30" borderId="3" xfId="0" applyNumberFormat="1" applyFont="1" applyFill="1" applyBorder="1" applyAlignment="1">
      <alignment horizontal="center" vertical="center" wrapText="1"/>
    </xf>
    <xf numFmtId="1" fontId="5" fillId="30" borderId="3" xfId="0" applyNumberFormat="1" applyFont="1" applyFill="1" applyBorder="1" applyAlignment="1" applyProtection="1">
      <alignment horizontal="center" vertical="center" wrapText="1"/>
      <protection locked="0"/>
    </xf>
    <xf numFmtId="1" fontId="6" fillId="30" borderId="3" xfId="0" applyNumberFormat="1" applyFont="1" applyFill="1" applyBorder="1" applyAlignment="1">
      <alignment horizontal="center" vertical="center" wrapText="1"/>
    </xf>
    <xf numFmtId="1" fontId="6" fillId="30" borderId="3" xfId="0" applyNumberFormat="1" applyFont="1" applyFill="1" applyBorder="1" applyAlignment="1" applyProtection="1">
      <alignment horizontal="center" vertical="center" wrapText="1"/>
      <protection locked="0"/>
    </xf>
    <xf numFmtId="1" fontId="5" fillId="30" borderId="19" xfId="0" applyNumberFormat="1" applyFont="1" applyFill="1" applyBorder="1" applyAlignment="1">
      <alignment horizontal="center" vertical="center" wrapText="1"/>
    </xf>
    <xf numFmtId="1" fontId="5" fillId="30" borderId="3" xfId="0" applyNumberFormat="1" applyFont="1" applyFill="1" applyBorder="1" applyAlignment="1" applyProtection="1">
      <alignment horizontal="left" vertical="center" wrapText="1"/>
      <protection locked="0"/>
    </xf>
    <xf numFmtId="1" fontId="6" fillId="30" borderId="19" xfId="0" applyNumberFormat="1" applyFont="1" applyFill="1" applyBorder="1" applyAlignment="1">
      <alignment horizontal="center" vertical="center" wrapText="1"/>
    </xf>
    <xf numFmtId="1" fontId="6" fillId="30" borderId="3" xfId="0" applyNumberFormat="1" applyFont="1" applyFill="1" applyBorder="1" applyAlignment="1" applyProtection="1">
      <alignment horizontal="left" vertical="center" wrapText="1"/>
      <protection locked="0"/>
    </xf>
    <xf numFmtId="1" fontId="6" fillId="30" borderId="21" xfId="0" applyNumberFormat="1" applyFont="1" applyFill="1" applyBorder="1" applyAlignment="1">
      <alignment horizontal="center" vertical="center" wrapText="1"/>
    </xf>
    <xf numFmtId="1" fontId="5" fillId="30" borderId="21" xfId="0" applyNumberFormat="1" applyFont="1" applyFill="1" applyBorder="1" applyAlignment="1">
      <alignment horizontal="center" vertical="center"/>
    </xf>
    <xf numFmtId="1" fontId="5" fillId="30" borderId="3" xfId="0" applyNumberFormat="1" applyFont="1" applyFill="1" applyBorder="1" applyAlignment="1">
      <alignment horizontal="center"/>
    </xf>
    <xf numFmtId="0" fontId="6" fillId="29" borderId="3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1" fontId="5" fillId="0" borderId="26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/>
    </xf>
    <xf numFmtId="1" fontId="6" fillId="22" borderId="3" xfId="0" applyNumberFormat="1" applyFont="1" applyFill="1" applyBorder="1" applyAlignment="1" applyProtection="1">
      <alignment horizontal="center" vertical="center" wrapText="1"/>
      <protection locked="0"/>
    </xf>
    <xf numFmtId="0" fontId="79" fillId="29" borderId="3" xfId="0" applyNumberFormat="1" applyFont="1" applyFill="1" applyBorder="1" applyAlignment="1" applyProtection="1">
      <alignment horizontal="center" vertical="center" wrapText="1"/>
      <protection locked="0"/>
    </xf>
    <xf numFmtId="1" fontId="6" fillId="29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6" fillId="29" borderId="3" xfId="0" applyFont="1" applyFill="1" applyBorder="1" applyAlignment="1" applyProtection="1">
      <alignment horizontal="left" vertical="center" wrapText="1"/>
      <protection locked="0"/>
    </xf>
    <xf numFmtId="1" fontId="5" fillId="29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29" borderId="3" xfId="0" applyFont="1" applyFill="1" applyBorder="1" applyAlignment="1">
      <alignment horizontal="left" vertical="center" wrapText="1"/>
    </xf>
    <xf numFmtId="49" fontId="6" fillId="29" borderId="14" xfId="0" applyNumberFormat="1" applyFont="1" applyFill="1" applyBorder="1" applyAlignment="1">
      <alignment horizontal="left" vertical="center" wrapText="1"/>
    </xf>
    <xf numFmtId="0" fontId="6" fillId="29" borderId="3" xfId="0" applyFont="1" applyFill="1" applyBorder="1" applyAlignment="1">
      <alignment horizontal="left" vertical="top" wrapText="1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182" fontId="6" fillId="29" borderId="3" xfId="353" applyNumberFormat="1" applyFont="1" applyFill="1" applyBorder="1" applyAlignment="1" applyProtection="1">
      <alignment horizontal="center" vertical="center" wrapText="1"/>
      <protection locked="0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3" xfId="0" applyNumberFormat="1" applyFont="1" applyFill="1" applyBorder="1" applyAlignment="1" applyProtection="1">
      <alignment horizontal="center" vertical="center" wrapText="1"/>
    </xf>
    <xf numFmtId="171" fontId="5" fillId="0" borderId="19" xfId="0" applyNumberFormat="1" applyFont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3" fontId="80" fillId="0" borderId="0" xfId="0" applyNumberFormat="1" applyFont="1" applyFill="1" applyBorder="1" applyAlignment="1">
      <alignment vertical="center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70" fontId="6" fillId="0" borderId="0" xfId="0" applyNumberFormat="1" applyFont="1" applyFill="1" applyAlignment="1">
      <alignment vertical="center"/>
    </xf>
    <xf numFmtId="49" fontId="6" fillId="29" borderId="14" xfId="0" applyNumberFormat="1" applyFont="1" applyFill="1" applyBorder="1" applyAlignment="1">
      <alignment horizontal="left" vertical="center" wrapText="1"/>
    </xf>
    <xf numFmtId="0" fontId="6" fillId="29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NumberFormat="1" applyFont="1" applyFill="1" applyBorder="1" applyAlignment="1">
      <alignment horizontal="center" vertical="center" wrapText="1"/>
    </xf>
    <xf numFmtId="49" fontId="6" fillId="29" borderId="14" xfId="0" applyNumberFormat="1" applyFont="1" applyFill="1" applyBorder="1" applyAlignment="1">
      <alignment horizontal="left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87" fillId="0" borderId="3" xfId="0" applyNumberFormat="1" applyFont="1" applyFill="1" applyBorder="1" applyAlignment="1">
      <alignment horizontal="center" vertical="top" shrinkToFit="1"/>
    </xf>
    <xf numFmtId="1" fontId="6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80" fillId="0" borderId="0" xfId="0" applyFont="1" applyFill="1" applyAlignment="1">
      <alignment vertical="center"/>
    </xf>
    <xf numFmtId="0" fontId="29" fillId="0" borderId="0" xfId="349" applyFill="1" applyAlignment="1">
      <alignment vertical="center"/>
    </xf>
    <xf numFmtId="1" fontId="6" fillId="0" borderId="0" xfId="0" applyNumberFormat="1" applyFont="1" applyFill="1" applyAlignment="1">
      <alignment horizontal="right" vertical="center"/>
    </xf>
    <xf numFmtId="1" fontId="6" fillId="0" borderId="0" xfId="0" quotePrefix="1" applyNumberFormat="1" applyFont="1" applyFill="1" applyAlignment="1">
      <alignment vertical="center"/>
    </xf>
    <xf numFmtId="0" fontId="6" fillId="0" borderId="0" xfId="0" applyFont="1" applyFill="1" applyAlignment="1">
      <alignment horizontal="center"/>
    </xf>
    <xf numFmtId="182" fontId="6" fillId="0" borderId="0" xfId="353" quotePrefix="1" applyNumberFormat="1" applyFont="1" applyFill="1" applyBorder="1" applyAlignment="1" applyProtection="1">
      <alignment horizontal="center" vertical="center" wrapText="1"/>
      <protection locked="0"/>
    </xf>
    <xf numFmtId="182" fontId="6" fillId="0" borderId="0" xfId="353" applyNumberFormat="1" applyFont="1" applyFill="1" applyBorder="1" applyAlignment="1">
      <alignment vertical="center"/>
    </xf>
    <xf numFmtId="0" fontId="0" fillId="0" borderId="0" xfId="0" applyFill="1"/>
    <xf numFmtId="0" fontId="69" fillId="0" borderId="15" xfId="0" applyFont="1" applyFill="1" applyBorder="1" applyAlignment="1" applyProtection="1">
      <alignment horizontal="left" vertical="center" wrapText="1"/>
      <protection locked="0"/>
    </xf>
    <xf numFmtId="0" fontId="69" fillId="0" borderId="16" xfId="0" applyFont="1" applyFill="1" applyBorder="1" applyAlignment="1" applyProtection="1">
      <alignment horizontal="left" vertical="center" wrapText="1"/>
      <protection locked="0"/>
    </xf>
    <xf numFmtId="0" fontId="72" fillId="0" borderId="15" xfId="0" applyFont="1" applyBorder="1" applyAlignment="1" applyProtection="1">
      <alignment horizontal="left" vertical="center" wrapText="1"/>
      <protection locked="0"/>
    </xf>
    <xf numFmtId="0" fontId="72" fillId="0" borderId="16" xfId="0" applyFont="1" applyBorder="1" applyAlignment="1" applyProtection="1">
      <alignment horizontal="left" vertical="center" wrapText="1"/>
      <protection locked="0"/>
    </xf>
    <xf numFmtId="0" fontId="69" fillId="0" borderId="14" xfId="0" applyFont="1" applyFill="1" applyBorder="1" applyAlignment="1" applyProtection="1">
      <alignment horizontal="left" vertical="center" wrapText="1"/>
      <protection locked="0"/>
    </xf>
    <xf numFmtId="0" fontId="75" fillId="0" borderId="15" xfId="0" applyFont="1" applyFill="1" applyBorder="1" applyAlignment="1" applyProtection="1">
      <alignment horizontal="center" vertical="center" wrapText="1"/>
      <protection locked="0"/>
    </xf>
    <xf numFmtId="0" fontId="73" fillId="0" borderId="19" xfId="0" applyFont="1" applyBorder="1" applyAlignment="1">
      <alignment horizontal="center" vertical="center"/>
    </xf>
    <xf numFmtId="0" fontId="83" fillId="0" borderId="0" xfId="0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0" fontId="73" fillId="0" borderId="0" xfId="0" applyFont="1" applyBorder="1" applyAlignment="1">
      <alignment horizontal="center" vertical="center"/>
    </xf>
    <xf numFmtId="0" fontId="73" fillId="0" borderId="19" xfId="0" applyFont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13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3" xfId="237" applyNumberFormat="1" applyFont="1" applyFill="1" applyBorder="1" applyAlignment="1" applyProtection="1">
      <alignment horizontal="center" vertical="center" wrapText="1"/>
    </xf>
    <xf numFmtId="0" fontId="74" fillId="0" borderId="0" xfId="0" applyFont="1" applyFill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 applyProtection="1">
      <alignment horizontal="center"/>
    </xf>
    <xf numFmtId="0" fontId="5" fillId="0" borderId="15" xfId="0" applyFont="1" applyFill="1" applyBorder="1" applyAlignment="1" applyProtection="1">
      <alignment horizontal="center"/>
    </xf>
    <xf numFmtId="0" fontId="5" fillId="0" borderId="16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top"/>
    </xf>
    <xf numFmtId="168" fontId="6" fillId="0" borderId="3" xfId="0" applyNumberFormat="1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1" fontId="5" fillId="0" borderId="16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20" xfId="0" applyNumberFormat="1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 wrapText="1"/>
    </xf>
    <xf numFmtId="0" fontId="5" fillId="0" borderId="15" xfId="245" applyFont="1" applyFill="1" applyBorder="1" applyAlignment="1">
      <alignment horizontal="center" vertical="center" wrapText="1"/>
    </xf>
    <xf numFmtId="0" fontId="5" fillId="0" borderId="16" xfId="245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24" xfId="245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horizontal="center" vertical="center" wrapText="1"/>
    </xf>
    <xf numFmtId="0" fontId="5" fillId="0" borderId="25" xfId="245" applyFont="1" applyFill="1" applyBorder="1" applyAlignment="1">
      <alignment horizontal="center" vertical="center" wrapText="1"/>
    </xf>
    <xf numFmtId="49" fontId="73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17" xfId="245" applyFont="1" applyFill="1" applyBorder="1" applyAlignment="1">
      <alignment horizontal="center" vertical="center" wrapText="1"/>
    </xf>
    <xf numFmtId="0" fontId="6" fillId="0" borderId="18" xfId="245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 shrinkToFit="1"/>
    </xf>
    <xf numFmtId="0" fontId="69" fillId="0" borderId="0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/>
    </xf>
    <xf numFmtId="0" fontId="5" fillId="0" borderId="0" xfId="237" applyNumberFormat="1" applyFont="1" applyFill="1" applyBorder="1" applyAlignment="1">
      <alignment horizontal="center" vertical="center" wrapText="1"/>
    </xf>
    <xf numFmtId="0" fontId="6" fillId="0" borderId="17" xfId="237" applyNumberFormat="1" applyFont="1" applyFill="1" applyBorder="1" applyAlignment="1">
      <alignment horizontal="center" vertical="center" wrapText="1"/>
    </xf>
    <xf numFmtId="0" fontId="6" fillId="0" borderId="18" xfId="237" applyNumberFormat="1" applyFont="1" applyFill="1" applyBorder="1" applyAlignment="1">
      <alignment horizontal="center" vertical="center" wrapText="1"/>
    </xf>
  </cellXfs>
  <cellStyles count="368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 3 2" xfId="354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0 2" xfId="355"/>
    <cellStyle name="Обычный 3 11" xfId="259"/>
    <cellStyle name="Обычный 3 11 2" xfId="356"/>
    <cellStyle name="Обычный 3 12" xfId="260"/>
    <cellStyle name="Обычный 3 12 2" xfId="357"/>
    <cellStyle name="Обычный 3 13" xfId="261"/>
    <cellStyle name="Обычный 3 13 2" xfId="358"/>
    <cellStyle name="Обычный 3 14" xfId="262"/>
    <cellStyle name="Обычный 3 2" xfId="263"/>
    <cellStyle name="Обычный 3 2 2" xfId="359"/>
    <cellStyle name="Обычный 3 3" xfId="264"/>
    <cellStyle name="Обычный 3 3 2" xfId="360"/>
    <cellStyle name="Обычный 3 4" xfId="265"/>
    <cellStyle name="Обычный 3 4 2" xfId="361"/>
    <cellStyle name="Обычный 3 5" xfId="266"/>
    <cellStyle name="Обычный 3 5 2" xfId="362"/>
    <cellStyle name="Обычный 3 6" xfId="267"/>
    <cellStyle name="Обычный 3 6 2" xfId="363"/>
    <cellStyle name="Обычный 3 7" xfId="268"/>
    <cellStyle name="Обычный 3 7 2" xfId="364"/>
    <cellStyle name="Обычный 3 8" xfId="269"/>
    <cellStyle name="Обычный 3 8 2" xfId="365"/>
    <cellStyle name="Обычный 3 9" xfId="270"/>
    <cellStyle name="Обычный 3 9 2" xfId="366"/>
    <cellStyle name="Обычный 3_Дефицит_7 млрд_0608_бс" xfId="271"/>
    <cellStyle name="Обычный 4" xfId="272"/>
    <cellStyle name="Обычный 4 2" xfId="367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" xfId="353" builtinId="3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colors>
    <mruColors>
      <color rgb="FFFFFF99"/>
      <color rgb="FFCCCCFF"/>
      <color rgb="FF3399FF"/>
      <color rgb="FFFFCCFF"/>
      <color rgb="FFCCFFCC"/>
      <color rgb="FFCCFFFF"/>
      <color rgb="FFFF99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externalLink" Target="externalLinks/externalLink3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42" Type="http://schemas.openxmlformats.org/officeDocument/2006/relationships/externalLink" Target="externalLinks/externalLink35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externalLink" Target="externalLinks/externalLink31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2.xml"/><Relationship Id="rId41" Type="http://schemas.openxmlformats.org/officeDocument/2006/relationships/externalLink" Target="externalLinks/externalLink3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externalLink" Target="externalLinks/externalLink30.xml"/><Relationship Id="rId40" Type="http://schemas.openxmlformats.org/officeDocument/2006/relationships/externalLink" Target="externalLinks/externalLink33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Relationship Id="rId43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</sheetNames>
    <sheetDataSet>
      <sheetData sheetId="0" refreshError="1"/>
      <sheetData sheetId="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gdp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1993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43"/>
  </sheetPr>
  <dimension ref="A1:K248"/>
  <sheetViews>
    <sheetView tabSelected="1" zoomScale="80" zoomScaleNormal="80" zoomScaleSheetLayoutView="90" workbookViewId="0">
      <selection activeCell="K18" sqref="K18"/>
    </sheetView>
  </sheetViews>
  <sheetFormatPr defaultRowHeight="18.75"/>
  <cols>
    <col min="1" max="1" width="62" style="2" customWidth="1"/>
    <col min="2" max="2" width="16.85546875" style="12" customWidth="1"/>
    <col min="3" max="3" width="16.85546875" style="136" customWidth="1"/>
    <col min="4" max="4" width="15.28515625" style="2" customWidth="1"/>
    <col min="5" max="5" width="14.5703125" style="2" customWidth="1"/>
    <col min="6" max="6" width="19.28515625" style="2" customWidth="1"/>
    <col min="7" max="7" width="25.140625" style="2" customWidth="1"/>
    <col min="8" max="8" width="10" style="2" customWidth="1"/>
    <col min="9" max="9" width="9.5703125" style="2" customWidth="1"/>
    <col min="10" max="11" width="9.140625" style="2"/>
    <col min="12" max="12" width="10.5703125" style="2" customWidth="1"/>
    <col min="13" max="16384" width="9.140625" style="2"/>
  </cols>
  <sheetData>
    <row r="1" spans="1:7">
      <c r="A1" s="51"/>
      <c r="B1" s="135"/>
      <c r="C1" s="135"/>
      <c r="D1" s="51"/>
      <c r="E1" s="51" t="s">
        <v>467</v>
      </c>
      <c r="F1" s="51"/>
      <c r="G1" s="51"/>
    </row>
    <row r="2" spans="1:7" ht="18.75" customHeight="1">
      <c r="A2" s="52"/>
      <c r="B2" s="52"/>
      <c r="C2" s="52"/>
      <c r="D2" s="138"/>
      <c r="E2" s="342" t="s">
        <v>468</v>
      </c>
      <c r="F2" s="342"/>
      <c r="G2" s="342"/>
    </row>
    <row r="3" spans="1:7" ht="18.75" customHeight="1">
      <c r="A3" s="52"/>
      <c r="B3" s="139"/>
      <c r="C3" s="139"/>
      <c r="D3" s="138"/>
      <c r="E3" s="342"/>
      <c r="F3" s="342"/>
      <c r="G3" s="342"/>
    </row>
    <row r="4" spans="1:7" ht="18.75" customHeight="1">
      <c r="A4" s="139"/>
      <c r="B4" s="139"/>
      <c r="C4" s="139"/>
      <c r="D4" s="138"/>
      <c r="E4" s="342"/>
      <c r="F4" s="342"/>
      <c r="G4" s="342"/>
    </row>
    <row r="5" spans="1:7" ht="24" customHeight="1">
      <c r="A5" s="139"/>
      <c r="B5" s="139"/>
      <c r="C5" s="139"/>
      <c r="D5" s="140"/>
      <c r="E5" s="343"/>
      <c r="F5" s="343"/>
      <c r="G5" s="343"/>
    </row>
    <row r="6" spans="1:7" ht="19.5" customHeight="1">
      <c r="A6" s="54"/>
      <c r="B6" s="134"/>
      <c r="C6" s="134"/>
      <c r="D6" s="55"/>
      <c r="E6" s="56"/>
      <c r="F6" s="98" t="s">
        <v>602</v>
      </c>
      <c r="G6" s="57" t="s">
        <v>197</v>
      </c>
    </row>
    <row r="7" spans="1:7" ht="21" customHeight="1">
      <c r="A7" s="58" t="s">
        <v>14</v>
      </c>
      <c r="B7" s="331" t="s">
        <v>382</v>
      </c>
      <c r="C7" s="331"/>
      <c r="D7" s="331"/>
      <c r="E7" s="332"/>
      <c r="F7" s="88" t="s">
        <v>109</v>
      </c>
      <c r="G7" s="84">
        <v>21927215</v>
      </c>
    </row>
    <row r="8" spans="1:7" ht="21" customHeight="1">
      <c r="A8" s="58" t="s">
        <v>15</v>
      </c>
      <c r="B8" s="331" t="s">
        <v>353</v>
      </c>
      <c r="C8" s="331"/>
      <c r="D8" s="331"/>
      <c r="E8" s="332"/>
      <c r="F8" s="88" t="s">
        <v>108</v>
      </c>
      <c r="G8" s="84">
        <v>150</v>
      </c>
    </row>
    <row r="9" spans="1:7" ht="18.75" customHeight="1">
      <c r="A9" s="58" t="s">
        <v>19</v>
      </c>
      <c r="B9" s="331" t="s">
        <v>603</v>
      </c>
      <c r="C9" s="331"/>
      <c r="D9" s="331"/>
      <c r="E9" s="332"/>
      <c r="F9" s="88" t="s">
        <v>600</v>
      </c>
      <c r="G9" s="320" t="s">
        <v>601</v>
      </c>
    </row>
    <row r="10" spans="1:7" ht="38.25" customHeight="1">
      <c r="A10" s="58" t="s">
        <v>254</v>
      </c>
      <c r="B10" s="331" t="s">
        <v>363</v>
      </c>
      <c r="C10" s="331"/>
      <c r="D10" s="331"/>
      <c r="E10" s="332"/>
      <c r="F10" s="88" t="s">
        <v>9</v>
      </c>
      <c r="G10" s="84">
        <v>1009</v>
      </c>
    </row>
    <row r="11" spans="1:7" ht="54" customHeight="1">
      <c r="A11" s="58" t="s">
        <v>17</v>
      </c>
      <c r="B11" s="331" t="s">
        <v>383</v>
      </c>
      <c r="C11" s="331"/>
      <c r="D11" s="331"/>
      <c r="E11" s="332"/>
      <c r="F11" s="88" t="s">
        <v>8</v>
      </c>
      <c r="G11" s="84">
        <v>51113</v>
      </c>
    </row>
    <row r="12" spans="1:7" ht="51.75" customHeight="1">
      <c r="A12" s="58" t="s">
        <v>16</v>
      </c>
      <c r="B12" s="331" t="s">
        <v>269</v>
      </c>
      <c r="C12" s="331"/>
      <c r="D12" s="331"/>
      <c r="E12" s="332"/>
      <c r="F12" s="89" t="s">
        <v>10</v>
      </c>
      <c r="G12" s="84" t="s">
        <v>354</v>
      </c>
    </row>
    <row r="13" spans="1:7" ht="20.25" customHeight="1">
      <c r="A13" s="335" t="s">
        <v>255</v>
      </c>
      <c r="B13" s="331"/>
      <c r="C13" s="134"/>
      <c r="D13" s="331" t="s">
        <v>164</v>
      </c>
      <c r="E13" s="333"/>
      <c r="F13" s="334"/>
      <c r="G13" s="9"/>
    </row>
    <row r="14" spans="1:7" ht="18.75" customHeight="1">
      <c r="A14" s="58" t="s">
        <v>20</v>
      </c>
      <c r="B14" s="336" t="s">
        <v>355</v>
      </c>
      <c r="C14" s="336"/>
      <c r="D14" s="331" t="s">
        <v>165</v>
      </c>
      <c r="E14" s="333"/>
      <c r="F14" s="334"/>
      <c r="G14" s="61" t="s">
        <v>370</v>
      </c>
    </row>
    <row r="15" spans="1:7" ht="18.75" customHeight="1">
      <c r="A15" s="335" t="s">
        <v>609</v>
      </c>
      <c r="B15" s="331"/>
      <c r="C15" s="134"/>
      <c r="D15" s="59"/>
      <c r="E15" s="59"/>
      <c r="F15" s="59"/>
      <c r="G15" s="60"/>
    </row>
    <row r="16" spans="1:7" ht="18.75" customHeight="1">
      <c r="A16" s="58" t="s">
        <v>11</v>
      </c>
      <c r="B16" s="331" t="s">
        <v>610</v>
      </c>
      <c r="C16" s="331"/>
      <c r="D16" s="331"/>
      <c r="E16" s="331"/>
      <c r="F16" s="331"/>
      <c r="G16" s="332"/>
    </row>
    <row r="17" spans="1:7" ht="18" customHeight="1">
      <c r="A17" s="58" t="s">
        <v>12</v>
      </c>
      <c r="B17" s="134"/>
      <c r="C17" s="134"/>
      <c r="D17" s="59"/>
      <c r="E17" s="59"/>
      <c r="F17" s="59"/>
      <c r="G17" s="60"/>
    </row>
    <row r="18" spans="1:7" ht="45" customHeight="1">
      <c r="A18" s="58" t="s">
        <v>13</v>
      </c>
      <c r="B18" s="331" t="s">
        <v>511</v>
      </c>
      <c r="C18" s="331"/>
      <c r="D18" s="331"/>
      <c r="E18" s="331"/>
      <c r="F18" s="331"/>
      <c r="G18" s="332"/>
    </row>
    <row r="19" spans="1:7" ht="20.100000000000001" customHeight="1">
      <c r="B19" s="2"/>
      <c r="C19" s="137"/>
    </row>
    <row r="20" spans="1:7" ht="19.5" customHeight="1">
      <c r="A20" s="338" t="s">
        <v>469</v>
      </c>
      <c r="B20" s="338"/>
      <c r="C20" s="338"/>
      <c r="D20" s="338"/>
      <c r="E20" s="338"/>
      <c r="F20" s="338"/>
      <c r="G20" s="338"/>
    </row>
    <row r="21" spans="1:7" s="137" customFormat="1" ht="19.5" customHeight="1">
      <c r="A21" s="338" t="s">
        <v>470</v>
      </c>
      <c r="B21" s="338"/>
      <c r="C21" s="338"/>
      <c r="D21" s="338"/>
      <c r="E21" s="338"/>
      <c r="F21" s="338"/>
      <c r="G21" s="338"/>
    </row>
    <row r="22" spans="1:7" ht="22.5">
      <c r="A22" s="339" t="s">
        <v>586</v>
      </c>
      <c r="B22" s="339"/>
      <c r="C22" s="339"/>
      <c r="D22" s="339"/>
      <c r="E22" s="339"/>
      <c r="F22" s="339"/>
      <c r="G22" s="339"/>
    </row>
    <row r="23" spans="1:7" ht="24.75" customHeight="1">
      <c r="A23" s="340" t="s">
        <v>471</v>
      </c>
      <c r="B23" s="340"/>
      <c r="C23" s="340"/>
      <c r="D23" s="340"/>
      <c r="E23" s="340"/>
      <c r="F23" s="340"/>
      <c r="G23" s="340"/>
    </row>
    <row r="24" spans="1:7">
      <c r="A24" s="352" t="s">
        <v>168</v>
      </c>
      <c r="B24" s="352"/>
      <c r="C24" s="352"/>
      <c r="D24" s="352"/>
      <c r="E24" s="352"/>
      <c r="F24" s="352"/>
      <c r="G24" s="352"/>
    </row>
    <row r="25" spans="1:7" ht="12" customHeight="1">
      <c r="B25" s="13"/>
      <c r="C25" s="13"/>
      <c r="D25" s="13"/>
      <c r="E25" s="13"/>
      <c r="F25" s="13"/>
      <c r="G25" s="13"/>
    </row>
    <row r="26" spans="1:7" ht="42" customHeight="1">
      <c r="A26" s="353" t="s">
        <v>201</v>
      </c>
      <c r="B26" s="354" t="s">
        <v>18</v>
      </c>
      <c r="C26" s="341" t="s">
        <v>477</v>
      </c>
      <c r="D26" s="337" t="s">
        <v>472</v>
      </c>
      <c r="E26" s="337"/>
      <c r="F26" s="337"/>
      <c r="G26" s="337"/>
    </row>
    <row r="27" spans="1:7" ht="55.5" customHeight="1">
      <c r="A27" s="353"/>
      <c r="B27" s="354"/>
      <c r="C27" s="341"/>
      <c r="D27" s="141" t="s">
        <v>473</v>
      </c>
      <c r="E27" s="141" t="s">
        <v>474</v>
      </c>
      <c r="F27" s="141" t="s">
        <v>475</v>
      </c>
      <c r="G27" s="141" t="s">
        <v>476</v>
      </c>
    </row>
    <row r="28" spans="1:7" ht="20.100000000000001" customHeight="1">
      <c r="A28" s="43">
        <v>1</v>
      </c>
      <c r="B28" s="44">
        <v>2</v>
      </c>
      <c r="C28" s="142">
        <v>3</v>
      </c>
      <c r="D28" s="142">
        <v>4</v>
      </c>
      <c r="E28" s="143">
        <v>5</v>
      </c>
      <c r="F28" s="142">
        <v>6</v>
      </c>
      <c r="G28" s="143">
        <v>7</v>
      </c>
    </row>
    <row r="29" spans="1:7" ht="24.95" customHeight="1">
      <c r="A29" s="345" t="s">
        <v>82</v>
      </c>
      <c r="B29" s="345"/>
      <c r="C29" s="345"/>
      <c r="D29" s="345"/>
      <c r="E29" s="345"/>
      <c r="F29" s="345"/>
      <c r="G29" s="345"/>
    </row>
    <row r="30" spans="1:7" ht="37.5">
      <c r="A30" s="45" t="s">
        <v>169</v>
      </c>
      <c r="B30" s="129">
        <v>1000</v>
      </c>
      <c r="C30" s="96">
        <f>'I. Фін результат'!C7</f>
        <v>11306</v>
      </c>
      <c r="D30" s="96">
        <f>'I. Фін результат'!D7</f>
        <v>14509</v>
      </c>
      <c r="E30" s="96">
        <f>'I. Фін результат'!E7</f>
        <v>15803</v>
      </c>
      <c r="F30" s="144">
        <f t="shared" ref="F30:F44" si="0">E30-D30</f>
        <v>1294</v>
      </c>
      <c r="G30" s="145">
        <f>E30/D30*100</f>
        <v>108.91860224688124</v>
      </c>
    </row>
    <row r="31" spans="1:7" ht="37.5">
      <c r="A31" s="45" t="s">
        <v>147</v>
      </c>
      <c r="B31" s="129">
        <v>1010</v>
      </c>
      <c r="C31" s="96">
        <f>'I. Фін результат'!C10</f>
        <v>109521</v>
      </c>
      <c r="D31" s="96">
        <f>'I. Фін результат'!D10</f>
        <v>168755</v>
      </c>
      <c r="E31" s="96">
        <f>'I. Фін результат'!E10</f>
        <v>136518</v>
      </c>
      <c r="F31" s="144">
        <f t="shared" si="0"/>
        <v>-32237</v>
      </c>
      <c r="G31" s="145">
        <f>E31/D31*100</f>
        <v>80.89715860270806</v>
      </c>
    </row>
    <row r="32" spans="1:7" ht="20.100000000000001" customHeight="1">
      <c r="A32" s="46" t="s">
        <v>219</v>
      </c>
      <c r="B32" s="129">
        <v>1020</v>
      </c>
      <c r="C32" s="95">
        <f>C30-C31</f>
        <v>-98215</v>
      </c>
      <c r="D32" s="95">
        <f>D30-D31</f>
        <v>-154246</v>
      </c>
      <c r="E32" s="95">
        <f>E30-E31</f>
        <v>-120715</v>
      </c>
      <c r="F32" s="144">
        <f t="shared" si="0"/>
        <v>33531</v>
      </c>
      <c r="G32" s="145">
        <f>E32/D32*100</f>
        <v>78.26134875458682</v>
      </c>
    </row>
    <row r="33" spans="1:7" ht="20.100000000000001" customHeight="1">
      <c r="A33" s="45" t="s">
        <v>113</v>
      </c>
      <c r="B33" s="129">
        <v>1040</v>
      </c>
      <c r="C33" s="96">
        <f>'I. Фін результат'!C39</f>
        <v>19880</v>
      </c>
      <c r="D33" s="96">
        <f>'I. Фін результат'!D39</f>
        <v>24727</v>
      </c>
      <c r="E33" s="96">
        <f>'I. Фін результат'!E39</f>
        <v>25255</v>
      </c>
      <c r="F33" s="144">
        <f t="shared" si="0"/>
        <v>528</v>
      </c>
      <c r="G33" s="145">
        <f>E33/D33*100</f>
        <v>102.13531766894488</v>
      </c>
    </row>
    <row r="34" spans="1:7" ht="20.100000000000001" customHeight="1">
      <c r="A34" s="45" t="s">
        <v>110</v>
      </c>
      <c r="B34" s="129">
        <v>1070</v>
      </c>
      <c r="C34" s="96">
        <f>'I. Фін результат'!C86</f>
        <v>0</v>
      </c>
      <c r="D34" s="96">
        <f>'I. Фін результат'!D86</f>
        <v>0</v>
      </c>
      <c r="E34" s="96">
        <f>'I. Фін результат'!E86</f>
        <v>0</v>
      </c>
      <c r="F34" s="144">
        <f t="shared" si="0"/>
        <v>0</v>
      </c>
      <c r="G34" s="145">
        <v>0</v>
      </c>
    </row>
    <row r="35" spans="1:7" ht="20.100000000000001" customHeight="1">
      <c r="A35" s="45" t="s">
        <v>114</v>
      </c>
      <c r="B35" s="129">
        <v>1300</v>
      </c>
      <c r="C35" s="96">
        <f>'I. Фін результат'!C22-'I. Фін результат'!C93</f>
        <v>94813</v>
      </c>
      <c r="D35" s="96">
        <f>'I. Фін результат'!D22-'I. Фін результат'!D93</f>
        <v>179063</v>
      </c>
      <c r="E35" s="96">
        <f>'I. Фін результат'!E22-'I. Фін результат'!E93</f>
        <v>141795</v>
      </c>
      <c r="F35" s="144">
        <f t="shared" si="0"/>
        <v>-37268</v>
      </c>
      <c r="G35" s="145">
        <f>E35/D35*100</f>
        <v>79.187213438845546</v>
      </c>
    </row>
    <row r="36" spans="1:7" ht="37.5">
      <c r="A36" s="47" t="s">
        <v>4</v>
      </c>
      <c r="B36" s="129">
        <v>1100</v>
      </c>
      <c r="C36" s="95">
        <f>C32-C33+C35</f>
        <v>-23282</v>
      </c>
      <c r="D36" s="95">
        <f>D32-D33+D35</f>
        <v>90</v>
      </c>
      <c r="E36" s="95">
        <f>E32-E33+E35</f>
        <v>-4175</v>
      </c>
      <c r="F36" s="144">
        <f t="shared" si="0"/>
        <v>-4265</v>
      </c>
      <c r="G36" s="145">
        <f>E36/D36*100</f>
        <v>-4638.8888888888887</v>
      </c>
    </row>
    <row r="37" spans="1:7" ht="20.100000000000001" customHeight="1">
      <c r="A37" s="47" t="s">
        <v>115</v>
      </c>
      <c r="B37" s="129">
        <v>1410</v>
      </c>
      <c r="C37" s="96">
        <f>'I. Фін результат'!C157</f>
        <v>-15024</v>
      </c>
      <c r="D37" s="96">
        <f>'I. Фін результат'!D157</f>
        <v>9943</v>
      </c>
      <c r="E37" s="96">
        <f>'I. Фін результат'!E157</f>
        <v>2148</v>
      </c>
      <c r="F37" s="144">
        <f t="shared" si="0"/>
        <v>-7795</v>
      </c>
      <c r="G37" s="145">
        <f>E37/D37*100</f>
        <v>21.603137885949913</v>
      </c>
    </row>
    <row r="38" spans="1:7" ht="20.100000000000001" customHeight="1">
      <c r="A38" s="48" t="s">
        <v>186</v>
      </c>
      <c r="B38" s="129">
        <v>5010</v>
      </c>
      <c r="C38" s="96">
        <f>C37*100/C30</f>
        <v>-132.88519370245888</v>
      </c>
      <c r="D38" s="96">
        <f>D37*100/D30</f>
        <v>68.52987800675443</v>
      </c>
      <c r="E38" s="96">
        <f>E37*100/E30</f>
        <v>13.592355881794596</v>
      </c>
      <c r="F38" s="144">
        <f t="shared" si="0"/>
        <v>-54.937522124959834</v>
      </c>
      <c r="G38" s="145">
        <f>E38/D38*100</f>
        <v>19.834204112336096</v>
      </c>
    </row>
    <row r="39" spans="1:7" ht="37.5">
      <c r="A39" s="48" t="s">
        <v>116</v>
      </c>
      <c r="B39" s="129">
        <v>1310</v>
      </c>
      <c r="C39" s="96">
        <f>'I. Фін результат'!C147</f>
        <v>0</v>
      </c>
      <c r="D39" s="246">
        <f>'I. Фін результат'!D147</f>
        <v>0</v>
      </c>
      <c r="E39" s="246">
        <f>'I. Фін результат'!E147</f>
        <v>0</v>
      </c>
      <c r="F39" s="144">
        <f t="shared" si="0"/>
        <v>0</v>
      </c>
      <c r="G39" s="145">
        <v>0</v>
      </c>
    </row>
    <row r="40" spans="1:7" ht="20.100000000000001" customHeight="1">
      <c r="A40" s="45" t="s">
        <v>191</v>
      </c>
      <c r="B40" s="129">
        <v>1320</v>
      </c>
      <c r="C40" s="246">
        <f>'I. Фін результат'!C132-'I. Фін результат'!C135</f>
        <v>0</v>
      </c>
      <c r="D40" s="246">
        <f>'I. Фін результат'!D132-'I. Фін результат'!D135</f>
        <v>0</v>
      </c>
      <c r="E40" s="96">
        <f>'I. Фін результат'!E132-'I. Фін результат'!E135</f>
        <v>0</v>
      </c>
      <c r="F40" s="144">
        <f t="shared" si="0"/>
        <v>0</v>
      </c>
      <c r="G40" s="145" t="e">
        <f>E40/D40*100</f>
        <v>#DIV/0!</v>
      </c>
    </row>
    <row r="41" spans="1:7">
      <c r="A41" s="47" t="s">
        <v>80</v>
      </c>
      <c r="B41" s="129">
        <v>1170</v>
      </c>
      <c r="C41" s="95">
        <f>C36+C40</f>
        <v>-23282</v>
      </c>
      <c r="D41" s="95">
        <f>D36+D40</f>
        <v>90</v>
      </c>
      <c r="E41" s="95">
        <f>E36+E40</f>
        <v>-4175</v>
      </c>
      <c r="F41" s="144">
        <f t="shared" si="0"/>
        <v>-4265</v>
      </c>
      <c r="G41" s="145">
        <f>E41/D41*100</f>
        <v>-4638.8888888888887</v>
      </c>
    </row>
    <row r="42" spans="1:7" ht="20.100000000000001" customHeight="1">
      <c r="A42" s="48" t="s">
        <v>111</v>
      </c>
      <c r="B42" s="129">
        <v>1180</v>
      </c>
      <c r="C42" s="96">
        <f>'I. Фін результат'!C139</f>
        <v>0</v>
      </c>
      <c r="D42" s="246">
        <f>'I. Фін результат'!D139</f>
        <v>16</v>
      </c>
      <c r="E42" s="246">
        <f>'I. Фін результат'!E139</f>
        <v>0</v>
      </c>
      <c r="F42" s="144">
        <f t="shared" si="0"/>
        <v>-16</v>
      </c>
      <c r="G42" s="145">
        <f>E42/D42*100</f>
        <v>0</v>
      </c>
    </row>
    <row r="43" spans="1:7" ht="20.100000000000001" customHeight="1">
      <c r="A43" s="47" t="s">
        <v>187</v>
      </c>
      <c r="B43" s="129">
        <v>1200</v>
      </c>
      <c r="C43" s="95">
        <f>'I. Фін результат'!C141</f>
        <v>-23282</v>
      </c>
      <c r="D43" s="95">
        <f>'I. Фін результат'!D141</f>
        <v>74</v>
      </c>
      <c r="E43" s="95">
        <f>'I. Фін результат'!E141</f>
        <v>-4175</v>
      </c>
      <c r="F43" s="144">
        <f t="shared" si="0"/>
        <v>-4249</v>
      </c>
      <c r="G43" s="145">
        <f>E43/D43*100</f>
        <v>-5641.8918918918916</v>
      </c>
    </row>
    <row r="44" spans="1:7" ht="20.100000000000001" customHeight="1">
      <c r="A44" s="48" t="s">
        <v>188</v>
      </c>
      <c r="B44" s="129">
        <v>5040</v>
      </c>
      <c r="C44" s="131">
        <f>C43/C30</f>
        <v>-2.0592605696090573</v>
      </c>
      <c r="D44" s="131">
        <f>D43/D30</f>
        <v>5.1002825832242053E-3</v>
      </c>
      <c r="E44" s="131">
        <f>E43/E30</f>
        <v>-0.26419034360564447</v>
      </c>
      <c r="F44" s="144">
        <f t="shared" si="0"/>
        <v>-0.26929062618886868</v>
      </c>
      <c r="G44" s="145">
        <f>E44/D44*100</f>
        <v>-5179.9158045598597</v>
      </c>
    </row>
    <row r="45" spans="1:7" ht="24.95" customHeight="1">
      <c r="A45" s="351" t="s">
        <v>128</v>
      </c>
      <c r="B45" s="351"/>
      <c r="C45" s="351"/>
      <c r="D45" s="351"/>
      <c r="E45" s="351"/>
      <c r="F45" s="351"/>
      <c r="G45" s="351"/>
    </row>
    <row r="46" spans="1:7" ht="20.100000000000001" customHeight="1">
      <c r="A46" s="128" t="s">
        <v>244</v>
      </c>
      <c r="B46" s="129">
        <v>2100</v>
      </c>
      <c r="C46" s="96">
        <f>'ІІ. Розр. з бюджетом'!C22</f>
        <v>0</v>
      </c>
      <c r="D46" s="96">
        <f>'ІІ. Розр. з бюджетом'!D22</f>
        <v>49</v>
      </c>
      <c r="E46" s="96">
        <f>'ІІ. Розр. з бюджетом'!E22</f>
        <v>0</v>
      </c>
      <c r="F46" s="144">
        <f t="shared" ref="F46:F51" si="1">E46-D46</f>
        <v>-49</v>
      </c>
      <c r="G46" s="145">
        <f t="shared" ref="G46:G51" si="2">E46/D46*100</f>
        <v>0</v>
      </c>
    </row>
    <row r="47" spans="1:7" ht="20.100000000000001" customHeight="1">
      <c r="A47" s="49" t="s">
        <v>127</v>
      </c>
      <c r="B47" s="129">
        <v>2110</v>
      </c>
      <c r="C47" s="96">
        <f>'ІІ. Розр. з бюджетом'!C25</f>
        <v>0</v>
      </c>
      <c r="D47" s="96">
        <f>'ІІ. Розр. з бюджетом'!D25</f>
        <v>16</v>
      </c>
      <c r="E47" s="96">
        <f>'ІІ. Розр. з бюджетом'!E25</f>
        <v>0</v>
      </c>
      <c r="F47" s="144">
        <f t="shared" si="1"/>
        <v>-16</v>
      </c>
      <c r="G47" s="145">
        <f t="shared" si="2"/>
        <v>0</v>
      </c>
    </row>
    <row r="48" spans="1:7" ht="56.25">
      <c r="A48" s="49" t="s">
        <v>240</v>
      </c>
      <c r="B48" s="129" t="s">
        <v>189</v>
      </c>
      <c r="C48" s="96">
        <f>'ІІ. Розр. з бюджетом'!C27</f>
        <v>-293752</v>
      </c>
      <c r="D48" s="96">
        <f>'ІІ. Розр. з бюджетом'!D27</f>
        <v>-56294</v>
      </c>
      <c r="E48" s="96">
        <f>'ІІ. Розр. з бюджетом'!E27</f>
        <v>-355465</v>
      </c>
      <c r="F48" s="144">
        <f t="shared" si="1"/>
        <v>-299171</v>
      </c>
      <c r="G48" s="145">
        <f t="shared" si="2"/>
        <v>631.44384836749919</v>
      </c>
    </row>
    <row r="49" spans="1:7" ht="37.5">
      <c r="A49" s="128" t="s">
        <v>245</v>
      </c>
      <c r="B49" s="129">
        <v>2140</v>
      </c>
      <c r="C49" s="96">
        <f>'ІІ. Розр. з бюджетом'!C28</f>
        <v>16362</v>
      </c>
      <c r="D49" s="96">
        <f>'ІІ. Розр. з бюджетом'!D28</f>
        <v>19221</v>
      </c>
      <c r="E49" s="96">
        <f>'ІІ. Розр. з бюджетом'!E28</f>
        <v>18363</v>
      </c>
      <c r="F49" s="144">
        <f t="shared" si="1"/>
        <v>-858</v>
      </c>
      <c r="G49" s="145">
        <f t="shared" si="2"/>
        <v>95.536132355236461</v>
      </c>
    </row>
    <row r="50" spans="1:7" ht="39" customHeight="1">
      <c r="A50" s="128" t="s">
        <v>71</v>
      </c>
      <c r="B50" s="129">
        <v>2150</v>
      </c>
      <c r="C50" s="96">
        <f>'ІІ. Розр. з бюджетом'!C44</f>
        <v>16523</v>
      </c>
      <c r="D50" s="96">
        <f>'ІІ. Розр. з бюджетом'!D44</f>
        <v>21209</v>
      </c>
      <c r="E50" s="96">
        <f>'ІІ. Розр. з бюджетом'!E44</f>
        <v>18163</v>
      </c>
      <c r="F50" s="144">
        <f t="shared" si="1"/>
        <v>-3046</v>
      </c>
      <c r="G50" s="145">
        <f t="shared" si="2"/>
        <v>85.638172473949737</v>
      </c>
    </row>
    <row r="51" spans="1:7" ht="20.100000000000001" customHeight="1">
      <c r="A51" s="50" t="s">
        <v>246</v>
      </c>
      <c r="B51" s="150">
        <v>2200</v>
      </c>
      <c r="C51" s="152">
        <f>SUM(C46:C50)</f>
        <v>-260867</v>
      </c>
      <c r="D51" s="152">
        <f>SUM(D46:D50)</f>
        <v>-15799</v>
      </c>
      <c r="E51" s="152">
        <f>SUM(E46:E50)</f>
        <v>-318939</v>
      </c>
      <c r="F51" s="147">
        <f t="shared" si="1"/>
        <v>-303140</v>
      </c>
      <c r="G51" s="148">
        <f t="shared" si="2"/>
        <v>2018.7290334831318</v>
      </c>
    </row>
    <row r="52" spans="1:7" ht="24.95" customHeight="1">
      <c r="A52" s="351" t="s">
        <v>126</v>
      </c>
      <c r="B52" s="351"/>
      <c r="C52" s="351"/>
      <c r="D52" s="351"/>
      <c r="E52" s="351"/>
      <c r="F52" s="351"/>
      <c r="G52" s="351"/>
    </row>
    <row r="53" spans="1:7" ht="20.100000000000001" customHeight="1">
      <c r="A53" s="50" t="s">
        <v>117</v>
      </c>
      <c r="B53" s="153">
        <v>3600</v>
      </c>
      <c r="C53" s="152">
        <f>'ІІІ. Рух грош. коштів'!C143</f>
        <v>19980</v>
      </c>
      <c r="D53" s="152">
        <f>'ІІІ. Рух грош. коштів'!D143</f>
        <v>39627</v>
      </c>
      <c r="E53" s="152">
        <f>'ІІІ. Рух грош. коштів'!E143</f>
        <v>35677</v>
      </c>
      <c r="F53" s="147">
        <f t="shared" ref="F53:F58" si="3">E53-D53</f>
        <v>-3950</v>
      </c>
      <c r="G53" s="148">
        <f>E53/D53*100</f>
        <v>90.032048855578267</v>
      </c>
    </row>
    <row r="54" spans="1:7" ht="37.5">
      <c r="A54" s="128" t="s">
        <v>118</v>
      </c>
      <c r="B54" s="129">
        <v>3090</v>
      </c>
      <c r="C54" s="96">
        <f>'ІІІ. Рух грош. коштів'!C32</f>
        <v>-15508</v>
      </c>
      <c r="D54" s="96">
        <f>'ІІІ. Рух грош. коштів'!D32</f>
        <v>15549</v>
      </c>
      <c r="E54" s="96">
        <f>'ІІІ. Рух грош. коштів'!E32</f>
        <v>236353</v>
      </c>
      <c r="F54" s="144">
        <f t="shared" si="3"/>
        <v>220804</v>
      </c>
      <c r="G54" s="145">
        <f>E54/D54*100</f>
        <v>1520.0527365103865</v>
      </c>
    </row>
    <row r="55" spans="1:7" ht="37.5">
      <c r="A55" s="128" t="s">
        <v>192</v>
      </c>
      <c r="B55" s="129">
        <v>3320</v>
      </c>
      <c r="C55" s="96">
        <f>'ІІІ. Рух грош. коштів'!C111</f>
        <v>-347060</v>
      </c>
      <c r="D55" s="96">
        <f>'ІІІ. Рух грош. коштів'!D111</f>
        <v>-1002</v>
      </c>
      <c r="E55" s="96">
        <f>'ІІІ. Рух грош. коштів'!E111</f>
        <v>-82015</v>
      </c>
      <c r="F55" s="144">
        <f t="shared" si="3"/>
        <v>-81013</v>
      </c>
      <c r="G55" s="145">
        <f>E55/D55*100</f>
        <v>8185.1297405189625</v>
      </c>
    </row>
    <row r="56" spans="1:7" ht="37.5">
      <c r="A56" s="128" t="s">
        <v>119</v>
      </c>
      <c r="B56" s="129">
        <v>3580</v>
      </c>
      <c r="C56" s="96">
        <f>'ІІІ. Рух грош. коштів'!C141</f>
        <v>361282</v>
      </c>
      <c r="D56" s="96">
        <f>'ІІІ. Рух грош. коштів'!D141</f>
        <v>-49</v>
      </c>
      <c r="E56" s="96">
        <f>'ІІІ. Рух грош. коштів'!E141</f>
        <v>-32</v>
      </c>
      <c r="F56" s="144">
        <f t="shared" si="3"/>
        <v>17</v>
      </c>
      <c r="G56" s="145">
        <f>E56/D56*100</f>
        <v>65.306122448979593</v>
      </c>
    </row>
    <row r="57" spans="1:7">
      <c r="A57" s="128" t="s">
        <v>142</v>
      </c>
      <c r="B57" s="129">
        <v>3610</v>
      </c>
      <c r="C57" s="96">
        <f>'ІІІ. Рух грош. коштів'!C144</f>
        <v>0</v>
      </c>
      <c r="D57" s="96">
        <f>'ІІІ. Рух грош. коштів'!D144</f>
        <v>0</v>
      </c>
      <c r="E57" s="96">
        <f>'ІІІ. Рух грош. коштів'!E144</f>
        <v>0</v>
      </c>
      <c r="F57" s="144">
        <f t="shared" si="3"/>
        <v>0</v>
      </c>
      <c r="G57" s="145">
        <v>0</v>
      </c>
    </row>
    <row r="58" spans="1:7" ht="20.100000000000001" customHeight="1">
      <c r="A58" s="50" t="s">
        <v>120</v>
      </c>
      <c r="B58" s="129">
        <v>3620</v>
      </c>
      <c r="C58" s="152">
        <f>'ІІІ. Рух грош. коштів'!C145</f>
        <v>18694</v>
      </c>
      <c r="D58" s="152">
        <f>'ІІІ. Рух грош. коштів'!D145</f>
        <v>54125</v>
      </c>
      <c r="E58" s="152">
        <f>'ІІІ. Рух грош. коштів'!E145</f>
        <v>189983</v>
      </c>
      <c r="F58" s="144">
        <f t="shared" si="3"/>
        <v>135858</v>
      </c>
      <c r="G58" s="145">
        <f>E58/D58*100</f>
        <v>351.0078521939954</v>
      </c>
    </row>
    <row r="59" spans="1:7" ht="24.95" customHeight="1">
      <c r="A59" s="348" t="s">
        <v>173</v>
      </c>
      <c r="B59" s="349"/>
      <c r="C59" s="349"/>
      <c r="D59" s="349"/>
      <c r="E59" s="349"/>
      <c r="F59" s="349"/>
      <c r="G59" s="350"/>
    </row>
    <row r="60" spans="1:7" ht="20.100000000000001" customHeight="1">
      <c r="A60" s="128" t="s">
        <v>172</v>
      </c>
      <c r="B60" s="129">
        <v>4000</v>
      </c>
      <c r="C60" s="82">
        <f>'IV. Кап. інвестиції'!C6</f>
        <v>278521</v>
      </c>
      <c r="D60" s="82">
        <f>'IV. Кап. інвестиції'!D6</f>
        <v>796725</v>
      </c>
      <c r="E60" s="82">
        <f>'IV. Кап. інвестиції'!E6</f>
        <v>348733</v>
      </c>
      <c r="F60" s="144">
        <f>E60-D60</f>
        <v>-447992</v>
      </c>
      <c r="G60" s="145">
        <f>E60/D60*100</f>
        <v>43.770811760645138</v>
      </c>
    </row>
    <row r="61" spans="1:7" ht="24.95" customHeight="1">
      <c r="A61" s="346" t="s">
        <v>176</v>
      </c>
      <c r="B61" s="346"/>
      <c r="C61" s="346"/>
      <c r="D61" s="346"/>
      <c r="E61" s="346"/>
      <c r="F61" s="346"/>
      <c r="G61" s="346"/>
    </row>
    <row r="62" spans="1:7" ht="20.100000000000001" customHeight="1">
      <c r="A62" s="128" t="s">
        <v>145</v>
      </c>
      <c r="B62" s="129">
        <v>5020</v>
      </c>
      <c r="C62" s="146">
        <v>-1E-3</v>
      </c>
      <c r="D62" s="149">
        <f>D43/D69</f>
        <v>2.4192984165364931E-5</v>
      </c>
      <c r="E62" s="149">
        <f>E43/E69</f>
        <v>-1.2005913523489749E-3</v>
      </c>
      <c r="F62" s="144">
        <f>E62-D62</f>
        <v>-1.2247843365143399E-3</v>
      </c>
      <c r="G62" s="145">
        <v>0</v>
      </c>
    </row>
    <row r="63" spans="1:7">
      <c r="A63" s="128" t="s">
        <v>141</v>
      </c>
      <c r="B63" s="129">
        <v>5030</v>
      </c>
      <c r="C63" s="146">
        <v>-2E-3</v>
      </c>
      <c r="D63" s="149">
        <f>D43/D75</f>
        <v>1.2203226599076183E-4</v>
      </c>
      <c r="E63" s="149">
        <f>E43/E75</f>
        <v>-7.0540211299612576E-3</v>
      </c>
      <c r="F63" s="144">
        <f>E63-D63</f>
        <v>-7.1760533959520194E-3</v>
      </c>
      <c r="G63" s="145">
        <v>0</v>
      </c>
    </row>
    <row r="64" spans="1:7" ht="20.100000000000001" customHeight="1">
      <c r="A64" s="128" t="s">
        <v>190</v>
      </c>
      <c r="B64" s="129">
        <v>5110</v>
      </c>
      <c r="C64" s="145">
        <v>0.7</v>
      </c>
      <c r="D64" s="149">
        <f>D75/D72</f>
        <v>0.2472727079961555</v>
      </c>
      <c r="E64" s="149">
        <f>E75/E72</f>
        <v>0.20510903828399857</v>
      </c>
      <c r="F64" s="144">
        <f>E64-D64</f>
        <v>-4.2163669712156931E-2</v>
      </c>
      <c r="G64" s="145">
        <f>E64/D64*100</f>
        <v>82.948514595952702</v>
      </c>
    </row>
    <row r="65" spans="1:11" ht="24.95" customHeight="1">
      <c r="A65" s="351" t="s">
        <v>175</v>
      </c>
      <c r="B65" s="351"/>
      <c r="C65" s="351"/>
      <c r="D65" s="351"/>
      <c r="E65" s="351"/>
      <c r="F65" s="351"/>
      <c r="G65" s="351"/>
    </row>
    <row r="66" spans="1:11" ht="20.100000000000001" customHeight="1">
      <c r="A66" s="128" t="s">
        <v>121</v>
      </c>
      <c r="B66" s="129">
        <v>6000</v>
      </c>
      <c r="C66" s="152">
        <v>2397515</v>
      </c>
      <c r="D66" s="301">
        <v>2446110</v>
      </c>
      <c r="E66" s="152">
        <v>2685430</v>
      </c>
      <c r="F66" s="204">
        <f t="shared" ref="F66:F75" si="4">E66-D66</f>
        <v>239320</v>
      </c>
      <c r="G66" s="145">
        <f>E66/D66*100</f>
        <v>109.78369738073921</v>
      </c>
    </row>
    <row r="67" spans="1:11" ht="20.100000000000001" customHeight="1">
      <c r="A67" s="128" t="s">
        <v>122</v>
      </c>
      <c r="B67" s="129">
        <v>6010</v>
      </c>
      <c r="C67" s="152">
        <v>750205</v>
      </c>
      <c r="D67" s="246">
        <v>612628</v>
      </c>
      <c r="E67" s="152">
        <v>792023</v>
      </c>
      <c r="F67" s="204">
        <f t="shared" si="4"/>
        <v>179395</v>
      </c>
      <c r="G67" s="145">
        <f>E67/D67*100</f>
        <v>129.28286007169115</v>
      </c>
    </row>
    <row r="68" spans="1:11">
      <c r="A68" s="128" t="s">
        <v>202</v>
      </c>
      <c r="B68" s="129">
        <v>6020</v>
      </c>
      <c r="C68" s="152">
        <f>'ІІІ. Рух грош. коштів'!C145</f>
        <v>18694</v>
      </c>
      <c r="D68" s="152">
        <f>'ІІІ. Рух грош. коштів'!D145</f>
        <v>54125</v>
      </c>
      <c r="E68" s="152">
        <f>'ІІІ. Рух грош. коштів'!E145</f>
        <v>189983</v>
      </c>
      <c r="F68" s="204">
        <f t="shared" si="4"/>
        <v>135858</v>
      </c>
      <c r="G68" s="145">
        <f>E68/D68*100</f>
        <v>351.0078521939954</v>
      </c>
    </row>
    <row r="69" spans="1:11" s="3" customFormat="1" ht="20.100000000000001" customHeight="1">
      <c r="A69" s="50" t="s">
        <v>206</v>
      </c>
      <c r="B69" s="129">
        <v>6030</v>
      </c>
      <c r="C69" s="200">
        <f>C66+C67</f>
        <v>3147720</v>
      </c>
      <c r="D69" s="304">
        <f>D66+D67</f>
        <v>3058738</v>
      </c>
      <c r="E69" s="304">
        <f>E66+E67</f>
        <v>3477453</v>
      </c>
      <c r="F69" s="201">
        <f t="shared" si="4"/>
        <v>418715</v>
      </c>
      <c r="G69" s="305">
        <f>E69/D69*100</f>
        <v>113.68914238486592</v>
      </c>
    </row>
    <row r="70" spans="1:11" ht="20.100000000000001" customHeight="1">
      <c r="A70" s="128" t="s">
        <v>143</v>
      </c>
      <c r="B70" s="129">
        <v>6040</v>
      </c>
      <c r="C70" s="180">
        <v>0</v>
      </c>
      <c r="D70" s="152">
        <v>0</v>
      </c>
      <c r="E70" s="152">
        <v>0</v>
      </c>
      <c r="F70" s="204">
        <f t="shared" si="4"/>
        <v>0</v>
      </c>
      <c r="G70" s="145">
        <v>0</v>
      </c>
    </row>
    <row r="71" spans="1:11" ht="20.100000000000001" customHeight="1">
      <c r="A71" s="128" t="s">
        <v>144</v>
      </c>
      <c r="B71" s="129">
        <v>6050</v>
      </c>
      <c r="C71" s="152">
        <f>C69-C75</f>
        <v>2557977</v>
      </c>
      <c r="D71" s="152">
        <f>D69-D75</f>
        <v>2452341</v>
      </c>
      <c r="E71" s="152">
        <f>E69-E75</f>
        <v>2885592</v>
      </c>
      <c r="F71" s="204">
        <f t="shared" si="4"/>
        <v>433251</v>
      </c>
      <c r="G71" s="145">
        <f>E71/D71*100</f>
        <v>117.66683344608275</v>
      </c>
    </row>
    <row r="72" spans="1:11" s="3" customFormat="1" ht="20.100000000000001" customHeight="1">
      <c r="A72" s="50" t="s">
        <v>205</v>
      </c>
      <c r="B72" s="129">
        <v>6060</v>
      </c>
      <c r="C72" s="152">
        <f>SUM(C70:C71)</f>
        <v>2557977</v>
      </c>
      <c r="D72" s="152">
        <f>SUM(D70:D71)</f>
        <v>2452341</v>
      </c>
      <c r="E72" s="152">
        <f>SUM(E70:E71)</f>
        <v>2885592</v>
      </c>
      <c r="F72" s="204">
        <f t="shared" si="4"/>
        <v>433251</v>
      </c>
      <c r="G72" s="145">
        <f>E72/D72*100</f>
        <v>117.66683344608275</v>
      </c>
    </row>
    <row r="73" spans="1:11" ht="20.100000000000001" customHeight="1">
      <c r="A73" s="128" t="s">
        <v>203</v>
      </c>
      <c r="B73" s="129">
        <v>6070</v>
      </c>
      <c r="C73" s="152">
        <v>0</v>
      </c>
      <c r="D73" s="152">
        <v>0</v>
      </c>
      <c r="E73" s="152">
        <v>0</v>
      </c>
      <c r="F73" s="204">
        <f t="shared" si="4"/>
        <v>0</v>
      </c>
      <c r="G73" s="145">
        <v>0</v>
      </c>
    </row>
    <row r="74" spans="1:11" ht="20.100000000000001" customHeight="1">
      <c r="A74" s="128" t="s">
        <v>204</v>
      </c>
      <c r="B74" s="129">
        <v>6080</v>
      </c>
      <c r="C74" s="152">
        <v>0</v>
      </c>
      <c r="D74" s="152">
        <v>0</v>
      </c>
      <c r="E74" s="152">
        <v>0</v>
      </c>
      <c r="F74" s="204">
        <f t="shared" si="4"/>
        <v>0</v>
      </c>
      <c r="G74" s="145">
        <v>0</v>
      </c>
    </row>
    <row r="75" spans="1:11" s="3" customFormat="1" ht="20.100000000000001" customHeight="1">
      <c r="A75" s="50" t="s">
        <v>123</v>
      </c>
      <c r="B75" s="129">
        <v>6090</v>
      </c>
      <c r="C75" s="304">
        <v>589743</v>
      </c>
      <c r="D75" s="290">
        <v>606397</v>
      </c>
      <c r="E75" s="304">
        <v>591861</v>
      </c>
      <c r="F75" s="201">
        <f t="shared" si="4"/>
        <v>-14536</v>
      </c>
      <c r="G75" s="305">
        <f>E75/D75*100</f>
        <v>97.602890515619293</v>
      </c>
    </row>
    <row r="76" spans="1:11" s="3" customFormat="1" ht="24.95" customHeight="1">
      <c r="A76" s="33"/>
      <c r="B76" s="126"/>
      <c r="C76" s="135"/>
      <c r="D76" s="127"/>
      <c r="E76" s="127"/>
      <c r="F76" s="127"/>
      <c r="G76" s="127"/>
    </row>
    <row r="77" spans="1:11" ht="24.95" customHeight="1">
      <c r="A77" s="53"/>
      <c r="B77" s="126"/>
      <c r="C77" s="135"/>
      <c r="D77" s="62"/>
      <c r="E77" s="62"/>
      <c r="F77" s="62"/>
      <c r="G77" s="62"/>
    </row>
    <row r="78" spans="1:11" s="237" customFormat="1" ht="20.25" customHeight="1" thickBot="1">
      <c r="A78" s="63" t="s">
        <v>509</v>
      </c>
      <c r="B78" s="64"/>
      <c r="C78" s="242"/>
      <c r="D78" s="65"/>
      <c r="E78" s="347" t="s">
        <v>604</v>
      </c>
      <c r="F78" s="347"/>
      <c r="G78" s="347"/>
    </row>
    <row r="79" spans="1:11" s="1" customFormat="1" ht="21" customHeight="1">
      <c r="A79" s="235" t="s">
        <v>66</v>
      </c>
      <c r="B79" s="51"/>
      <c r="C79" s="105" t="s">
        <v>501</v>
      </c>
      <c r="D79" s="66"/>
      <c r="E79" s="344" t="s">
        <v>605</v>
      </c>
      <c r="F79" s="344"/>
      <c r="G79" s="344"/>
      <c r="K79"/>
    </row>
    <row r="81" spans="1:7">
      <c r="A81" s="25"/>
    </row>
    <row r="82" spans="1:7">
      <c r="A82" s="25"/>
    </row>
    <row r="83" spans="1:7">
      <c r="A83" s="25"/>
    </row>
    <row r="84" spans="1:7" s="12" customFormat="1">
      <c r="A84" s="25"/>
      <c r="C84" s="136"/>
      <c r="D84" s="2"/>
      <c r="E84" s="2"/>
      <c r="F84" s="2"/>
      <c r="G84" s="2"/>
    </row>
    <row r="85" spans="1:7" s="12" customFormat="1">
      <c r="A85" s="25"/>
      <c r="C85" s="136"/>
      <c r="D85" s="2"/>
      <c r="E85" s="2"/>
      <c r="F85" s="2"/>
      <c r="G85" s="2"/>
    </row>
    <row r="86" spans="1:7" s="12" customFormat="1">
      <c r="A86" s="25"/>
      <c r="C86" s="136"/>
      <c r="D86" s="2"/>
      <c r="E86" s="2"/>
      <c r="F86" s="2"/>
      <c r="G86" s="2"/>
    </row>
    <row r="87" spans="1:7" s="12" customFormat="1">
      <c r="A87" s="25"/>
      <c r="C87" s="136"/>
      <c r="D87" s="2"/>
      <c r="E87" s="2"/>
      <c r="F87" s="2"/>
      <c r="G87" s="2"/>
    </row>
    <row r="88" spans="1:7" s="12" customFormat="1">
      <c r="A88" s="25"/>
      <c r="C88" s="136"/>
      <c r="D88" s="2"/>
      <c r="E88" s="2"/>
      <c r="F88" s="2"/>
      <c r="G88" s="2"/>
    </row>
    <row r="89" spans="1:7" s="12" customFormat="1">
      <c r="A89" s="25"/>
      <c r="C89" s="136"/>
      <c r="D89" s="2"/>
      <c r="E89" s="2"/>
      <c r="F89" s="2"/>
      <c r="G89" s="2"/>
    </row>
    <row r="90" spans="1:7" s="12" customFormat="1">
      <c r="A90" s="25"/>
      <c r="C90" s="136"/>
      <c r="D90" s="2"/>
      <c r="E90" s="2"/>
      <c r="F90" s="2"/>
      <c r="G90" s="2"/>
    </row>
    <row r="91" spans="1:7" s="12" customFormat="1">
      <c r="A91" s="25"/>
      <c r="C91" s="136"/>
      <c r="D91" s="2"/>
      <c r="E91" s="2"/>
      <c r="F91" s="2"/>
      <c r="G91" s="2"/>
    </row>
    <row r="92" spans="1:7" s="12" customFormat="1">
      <c r="A92" s="25"/>
      <c r="C92" s="136"/>
      <c r="D92" s="2"/>
      <c r="E92" s="2"/>
      <c r="F92" s="2"/>
      <c r="G92" s="2"/>
    </row>
    <row r="93" spans="1:7" s="12" customFormat="1">
      <c r="A93" s="25"/>
      <c r="C93" s="136"/>
      <c r="D93" s="2"/>
      <c r="E93" s="2"/>
      <c r="F93" s="2"/>
      <c r="G93" s="2"/>
    </row>
    <row r="94" spans="1:7" s="12" customFormat="1">
      <c r="A94" s="25"/>
      <c r="C94" s="136"/>
      <c r="D94" s="2"/>
      <c r="E94" s="2"/>
      <c r="F94" s="2"/>
      <c r="G94" s="2"/>
    </row>
    <row r="95" spans="1:7" s="12" customFormat="1">
      <c r="A95" s="25"/>
      <c r="C95" s="136"/>
      <c r="D95" s="2"/>
      <c r="E95" s="2"/>
      <c r="F95" s="2"/>
      <c r="G95" s="2"/>
    </row>
    <row r="96" spans="1:7" s="12" customFormat="1">
      <c r="A96" s="25"/>
      <c r="C96" s="136"/>
      <c r="D96" s="2"/>
      <c r="E96" s="2"/>
      <c r="F96" s="2"/>
      <c r="G96" s="2"/>
    </row>
    <row r="97" spans="1:7" s="12" customFormat="1">
      <c r="A97" s="25"/>
      <c r="C97" s="136"/>
      <c r="D97" s="2"/>
      <c r="E97" s="2"/>
      <c r="F97" s="2"/>
      <c r="G97" s="2"/>
    </row>
    <row r="98" spans="1:7" s="12" customFormat="1">
      <c r="A98" s="25"/>
      <c r="C98" s="136"/>
      <c r="D98" s="2"/>
      <c r="E98" s="2"/>
      <c r="F98" s="2"/>
      <c r="G98" s="2"/>
    </row>
    <row r="99" spans="1:7" s="12" customFormat="1">
      <c r="A99" s="25"/>
      <c r="C99" s="136"/>
      <c r="D99" s="2"/>
      <c r="E99" s="2"/>
      <c r="F99" s="2"/>
      <c r="G99" s="2"/>
    </row>
    <row r="100" spans="1:7" s="12" customFormat="1">
      <c r="A100" s="25"/>
      <c r="C100" s="136"/>
      <c r="D100" s="2"/>
      <c r="E100" s="2"/>
      <c r="F100" s="2"/>
      <c r="G100" s="2"/>
    </row>
    <row r="101" spans="1:7" s="12" customFormat="1">
      <c r="A101" s="25"/>
      <c r="C101" s="136"/>
      <c r="D101" s="2"/>
      <c r="E101" s="2"/>
      <c r="F101" s="2"/>
      <c r="G101" s="2"/>
    </row>
    <row r="102" spans="1:7" s="12" customFormat="1">
      <c r="A102" s="25"/>
      <c r="C102" s="136"/>
      <c r="D102" s="2"/>
      <c r="E102" s="2"/>
      <c r="F102" s="2"/>
      <c r="G102" s="2"/>
    </row>
    <row r="103" spans="1:7" s="12" customFormat="1">
      <c r="A103" s="25"/>
      <c r="C103" s="136"/>
      <c r="D103" s="2"/>
      <c r="E103" s="2"/>
      <c r="F103" s="2"/>
      <c r="G103" s="2"/>
    </row>
    <row r="104" spans="1:7" s="12" customFormat="1">
      <c r="A104" s="25"/>
      <c r="C104" s="136"/>
      <c r="D104" s="2"/>
      <c r="E104" s="2"/>
      <c r="F104" s="2"/>
      <c r="G104" s="2"/>
    </row>
    <row r="105" spans="1:7" s="12" customFormat="1">
      <c r="A105" s="25"/>
      <c r="C105" s="136"/>
      <c r="D105" s="2"/>
      <c r="E105" s="2"/>
      <c r="F105" s="2"/>
      <c r="G105" s="2"/>
    </row>
    <row r="106" spans="1:7" s="12" customFormat="1">
      <c r="A106" s="25"/>
      <c r="C106" s="136"/>
      <c r="D106" s="2"/>
      <c r="E106" s="2"/>
      <c r="F106" s="2"/>
      <c r="G106" s="2"/>
    </row>
    <row r="107" spans="1:7" s="12" customFormat="1">
      <c r="A107" s="25"/>
      <c r="C107" s="136"/>
      <c r="D107" s="2"/>
      <c r="E107" s="2"/>
      <c r="F107" s="2"/>
      <c r="G107" s="2"/>
    </row>
    <row r="108" spans="1:7" s="12" customFormat="1">
      <c r="A108" s="25"/>
      <c r="C108" s="136"/>
      <c r="D108" s="2"/>
      <c r="E108" s="2"/>
      <c r="F108" s="2"/>
      <c r="G108" s="2"/>
    </row>
    <row r="109" spans="1:7" s="12" customFormat="1">
      <c r="A109" s="25"/>
      <c r="C109" s="136"/>
      <c r="D109" s="2"/>
      <c r="E109" s="2"/>
      <c r="F109" s="2"/>
      <c r="G109" s="2"/>
    </row>
    <row r="110" spans="1:7" s="12" customFormat="1">
      <c r="A110" s="25"/>
      <c r="C110" s="136"/>
      <c r="D110" s="2"/>
      <c r="E110" s="2"/>
      <c r="F110" s="2"/>
      <c r="G110" s="2"/>
    </row>
    <row r="111" spans="1:7" s="12" customFormat="1">
      <c r="A111" s="25"/>
      <c r="C111" s="136"/>
      <c r="D111" s="2"/>
      <c r="E111" s="2"/>
      <c r="F111" s="2"/>
      <c r="G111" s="2"/>
    </row>
    <row r="112" spans="1:7" s="12" customFormat="1">
      <c r="A112" s="25"/>
      <c r="C112" s="136"/>
      <c r="D112" s="2"/>
      <c r="E112" s="2"/>
      <c r="F112" s="2"/>
      <c r="G112" s="2"/>
    </row>
    <row r="113" spans="1:7" s="12" customFormat="1">
      <c r="A113" s="25"/>
      <c r="C113" s="136"/>
      <c r="D113" s="2"/>
      <c r="E113" s="2"/>
      <c r="F113" s="2"/>
      <c r="G113" s="2"/>
    </row>
    <row r="114" spans="1:7" s="12" customFormat="1">
      <c r="A114" s="25"/>
      <c r="C114" s="136"/>
      <c r="D114" s="2"/>
      <c r="E114" s="2"/>
      <c r="F114" s="2"/>
      <c r="G114" s="2"/>
    </row>
    <row r="115" spans="1:7" s="12" customFormat="1">
      <c r="A115" s="25"/>
      <c r="C115" s="136"/>
      <c r="D115" s="2"/>
      <c r="E115" s="2"/>
      <c r="F115" s="2"/>
      <c r="G115" s="2"/>
    </row>
    <row r="116" spans="1:7" s="12" customFormat="1">
      <c r="A116" s="25"/>
      <c r="C116" s="136"/>
      <c r="D116" s="2"/>
      <c r="E116" s="2"/>
      <c r="F116" s="2"/>
      <c r="G116" s="2"/>
    </row>
    <row r="117" spans="1:7" s="12" customFormat="1">
      <c r="A117" s="25"/>
      <c r="C117" s="136"/>
      <c r="D117" s="2"/>
      <c r="E117" s="2"/>
      <c r="F117" s="2"/>
      <c r="G117" s="2"/>
    </row>
    <row r="118" spans="1:7" s="12" customFormat="1">
      <c r="A118" s="25"/>
      <c r="C118" s="136"/>
      <c r="D118" s="2"/>
      <c r="E118" s="2"/>
      <c r="F118" s="2"/>
      <c r="G118" s="2"/>
    </row>
    <row r="119" spans="1:7" s="12" customFormat="1">
      <c r="A119" s="25"/>
      <c r="C119" s="136"/>
      <c r="D119" s="2"/>
      <c r="E119" s="2"/>
      <c r="F119" s="2"/>
      <c r="G119" s="2"/>
    </row>
    <row r="120" spans="1:7" s="12" customFormat="1">
      <c r="A120" s="25"/>
      <c r="C120" s="136"/>
      <c r="D120" s="2"/>
      <c r="E120" s="2"/>
      <c r="F120" s="2"/>
      <c r="G120" s="2"/>
    </row>
    <row r="121" spans="1:7" s="12" customFormat="1">
      <c r="A121" s="25"/>
      <c r="C121" s="136"/>
      <c r="D121" s="2"/>
      <c r="E121" s="2"/>
      <c r="F121" s="2"/>
      <c r="G121" s="2"/>
    </row>
    <row r="122" spans="1:7" s="12" customFormat="1">
      <c r="A122" s="25"/>
      <c r="C122" s="136"/>
      <c r="D122" s="2"/>
      <c r="E122" s="2"/>
      <c r="F122" s="2"/>
      <c r="G122" s="2"/>
    </row>
    <row r="123" spans="1:7" s="12" customFormat="1">
      <c r="A123" s="25"/>
      <c r="C123" s="136"/>
      <c r="D123" s="2"/>
      <c r="E123" s="2"/>
      <c r="F123" s="2"/>
      <c r="G123" s="2"/>
    </row>
    <row r="124" spans="1:7" s="12" customFormat="1">
      <c r="A124" s="25"/>
      <c r="C124" s="136"/>
      <c r="D124" s="2"/>
      <c r="E124" s="2"/>
      <c r="F124" s="2"/>
      <c r="G124" s="2"/>
    </row>
    <row r="125" spans="1:7" s="12" customFormat="1">
      <c r="A125" s="25"/>
      <c r="C125" s="136"/>
      <c r="D125" s="2"/>
      <c r="E125" s="2"/>
      <c r="F125" s="2"/>
      <c r="G125" s="2"/>
    </row>
    <row r="126" spans="1:7" s="12" customFormat="1">
      <c r="A126" s="25"/>
      <c r="C126" s="136"/>
      <c r="D126" s="2"/>
      <c r="E126" s="2"/>
      <c r="F126" s="2"/>
      <c r="G126" s="2"/>
    </row>
    <row r="127" spans="1:7" s="12" customFormat="1">
      <c r="A127" s="25"/>
      <c r="C127" s="136"/>
      <c r="D127" s="2"/>
      <c r="E127" s="2"/>
      <c r="F127" s="2"/>
      <c r="G127" s="2"/>
    </row>
    <row r="128" spans="1:7" s="12" customFormat="1">
      <c r="A128" s="25"/>
      <c r="C128" s="136"/>
      <c r="D128" s="2"/>
      <c r="E128" s="2"/>
      <c r="F128" s="2"/>
      <c r="G128" s="2"/>
    </row>
    <row r="129" spans="1:7" s="12" customFormat="1">
      <c r="A129" s="25"/>
      <c r="C129" s="136"/>
      <c r="D129" s="2"/>
      <c r="E129" s="2"/>
      <c r="F129" s="2"/>
      <c r="G129" s="2"/>
    </row>
    <row r="130" spans="1:7" s="12" customFormat="1">
      <c r="A130" s="25"/>
      <c r="C130" s="136"/>
      <c r="D130" s="2"/>
      <c r="E130" s="2"/>
      <c r="F130" s="2"/>
      <c r="G130" s="2"/>
    </row>
    <row r="131" spans="1:7" s="12" customFormat="1">
      <c r="A131" s="25"/>
      <c r="C131" s="136"/>
      <c r="D131" s="2"/>
      <c r="E131" s="2"/>
      <c r="F131" s="2"/>
      <c r="G131" s="2"/>
    </row>
    <row r="132" spans="1:7" s="12" customFormat="1">
      <c r="A132" s="25"/>
      <c r="C132" s="136"/>
      <c r="D132" s="2"/>
      <c r="E132" s="2"/>
      <c r="F132" s="2"/>
      <c r="G132" s="2"/>
    </row>
    <row r="133" spans="1:7" s="12" customFormat="1">
      <c r="A133" s="25"/>
      <c r="C133" s="136"/>
      <c r="D133" s="2"/>
      <c r="E133" s="2"/>
      <c r="F133" s="2"/>
      <c r="G133" s="2"/>
    </row>
    <row r="134" spans="1:7" s="12" customFormat="1">
      <c r="A134" s="25"/>
      <c r="C134" s="136"/>
      <c r="D134" s="2"/>
      <c r="E134" s="2"/>
      <c r="F134" s="2"/>
      <c r="G134" s="2"/>
    </row>
    <row r="135" spans="1:7" s="12" customFormat="1">
      <c r="A135" s="25"/>
      <c r="C135" s="136"/>
      <c r="D135" s="2"/>
      <c r="E135" s="2"/>
      <c r="F135" s="2"/>
      <c r="G135" s="2"/>
    </row>
    <row r="136" spans="1:7" s="12" customFormat="1">
      <c r="A136" s="25"/>
      <c r="C136" s="136"/>
      <c r="D136" s="2"/>
      <c r="E136" s="2"/>
      <c r="F136" s="2"/>
      <c r="G136" s="2"/>
    </row>
    <row r="137" spans="1:7" s="12" customFormat="1">
      <c r="A137" s="25"/>
      <c r="C137" s="136"/>
      <c r="D137" s="2"/>
      <c r="E137" s="2"/>
      <c r="F137" s="2"/>
      <c r="G137" s="2"/>
    </row>
    <row r="138" spans="1:7" s="12" customFormat="1">
      <c r="A138" s="25"/>
      <c r="C138" s="136"/>
      <c r="D138" s="2"/>
      <c r="E138" s="2"/>
      <c r="F138" s="2"/>
      <c r="G138" s="2"/>
    </row>
    <row r="139" spans="1:7" s="12" customFormat="1">
      <c r="A139" s="25"/>
      <c r="C139" s="136"/>
      <c r="D139" s="2"/>
      <c r="E139" s="2"/>
      <c r="F139" s="2"/>
      <c r="G139" s="2"/>
    </row>
    <row r="140" spans="1:7" s="12" customFormat="1">
      <c r="A140" s="25"/>
      <c r="C140" s="136"/>
      <c r="D140" s="2"/>
      <c r="E140" s="2"/>
      <c r="F140" s="2"/>
      <c r="G140" s="2"/>
    </row>
    <row r="141" spans="1:7" s="12" customFormat="1">
      <c r="A141" s="25"/>
      <c r="C141" s="136"/>
      <c r="D141" s="2"/>
      <c r="E141" s="2"/>
      <c r="F141" s="2"/>
      <c r="G141" s="2"/>
    </row>
    <row r="142" spans="1:7" s="12" customFormat="1">
      <c r="A142" s="25"/>
      <c r="C142" s="136"/>
      <c r="D142" s="2"/>
      <c r="E142" s="2"/>
      <c r="F142" s="2"/>
      <c r="G142" s="2"/>
    </row>
    <row r="143" spans="1:7" s="12" customFormat="1">
      <c r="A143" s="25"/>
      <c r="C143" s="136"/>
      <c r="D143" s="2"/>
      <c r="E143" s="2"/>
      <c r="F143" s="2"/>
      <c r="G143" s="2"/>
    </row>
    <row r="144" spans="1:7" s="12" customFormat="1">
      <c r="A144" s="25"/>
      <c r="C144" s="136"/>
      <c r="D144" s="2"/>
      <c r="E144" s="2"/>
      <c r="F144" s="2"/>
      <c r="G144" s="2"/>
    </row>
    <row r="145" spans="1:7" s="12" customFormat="1">
      <c r="A145" s="25"/>
      <c r="C145" s="136"/>
      <c r="D145" s="2"/>
      <c r="E145" s="2"/>
      <c r="F145" s="2"/>
      <c r="G145" s="2"/>
    </row>
    <row r="146" spans="1:7" s="12" customFormat="1">
      <c r="A146" s="25"/>
      <c r="C146" s="136"/>
      <c r="D146" s="2"/>
      <c r="E146" s="2"/>
      <c r="F146" s="2"/>
      <c r="G146" s="2"/>
    </row>
    <row r="147" spans="1:7" s="12" customFormat="1">
      <c r="A147" s="25"/>
      <c r="C147" s="136"/>
      <c r="D147" s="2"/>
      <c r="E147" s="2"/>
      <c r="F147" s="2"/>
      <c r="G147" s="2"/>
    </row>
    <row r="148" spans="1:7" s="12" customFormat="1">
      <c r="A148" s="25"/>
      <c r="C148" s="136"/>
      <c r="D148" s="2"/>
      <c r="E148" s="2"/>
      <c r="F148" s="2"/>
      <c r="G148" s="2"/>
    </row>
    <row r="149" spans="1:7" s="12" customFormat="1">
      <c r="A149" s="25"/>
      <c r="C149" s="136"/>
      <c r="D149" s="2"/>
      <c r="E149" s="2"/>
      <c r="F149" s="2"/>
      <c r="G149" s="2"/>
    </row>
    <row r="150" spans="1:7" s="12" customFormat="1">
      <c r="A150" s="25"/>
      <c r="C150" s="136"/>
      <c r="D150" s="2"/>
      <c r="E150" s="2"/>
      <c r="F150" s="2"/>
      <c r="G150" s="2"/>
    </row>
    <row r="151" spans="1:7" s="12" customFormat="1">
      <c r="A151" s="25"/>
      <c r="C151" s="136"/>
      <c r="D151" s="2"/>
      <c r="E151" s="2"/>
      <c r="F151" s="2"/>
      <c r="G151" s="2"/>
    </row>
    <row r="152" spans="1:7" s="12" customFormat="1">
      <c r="A152" s="25"/>
      <c r="C152" s="136"/>
      <c r="D152" s="2"/>
      <c r="E152" s="2"/>
      <c r="F152" s="2"/>
      <c r="G152" s="2"/>
    </row>
    <row r="153" spans="1:7" s="12" customFormat="1">
      <c r="A153" s="25"/>
      <c r="C153" s="136"/>
      <c r="D153" s="2"/>
      <c r="E153" s="2"/>
      <c r="F153" s="2"/>
      <c r="G153" s="2"/>
    </row>
    <row r="154" spans="1:7" s="12" customFormat="1">
      <c r="A154" s="25"/>
      <c r="C154" s="136"/>
      <c r="D154" s="2"/>
      <c r="E154" s="2"/>
      <c r="F154" s="2"/>
      <c r="G154" s="2"/>
    </row>
    <row r="155" spans="1:7" s="12" customFormat="1">
      <c r="A155" s="25"/>
      <c r="C155" s="136"/>
      <c r="D155" s="2"/>
      <c r="E155" s="2"/>
      <c r="F155" s="2"/>
      <c r="G155" s="2"/>
    </row>
    <row r="156" spans="1:7" s="12" customFormat="1">
      <c r="A156" s="25"/>
      <c r="C156" s="136"/>
      <c r="D156" s="2"/>
      <c r="E156" s="2"/>
      <c r="F156" s="2"/>
      <c r="G156" s="2"/>
    </row>
    <row r="157" spans="1:7" s="12" customFormat="1">
      <c r="A157" s="25"/>
      <c r="C157" s="136"/>
      <c r="D157" s="2"/>
      <c r="E157" s="2"/>
      <c r="F157" s="2"/>
      <c r="G157" s="2"/>
    </row>
    <row r="158" spans="1:7" s="12" customFormat="1">
      <c r="A158" s="25"/>
      <c r="C158" s="136"/>
      <c r="D158" s="2"/>
      <c r="E158" s="2"/>
      <c r="F158" s="2"/>
      <c r="G158" s="2"/>
    </row>
    <row r="159" spans="1:7" s="12" customFormat="1">
      <c r="A159" s="25"/>
      <c r="C159" s="136"/>
      <c r="D159" s="2"/>
      <c r="E159" s="2"/>
      <c r="F159" s="2"/>
      <c r="G159" s="2"/>
    </row>
    <row r="160" spans="1:7" s="12" customFormat="1">
      <c r="A160" s="25"/>
      <c r="C160" s="136"/>
      <c r="D160" s="2"/>
      <c r="E160" s="2"/>
      <c r="F160" s="2"/>
      <c r="G160" s="2"/>
    </row>
    <row r="161" spans="1:7" s="12" customFormat="1">
      <c r="A161" s="25"/>
      <c r="C161" s="136"/>
      <c r="D161" s="2"/>
      <c r="E161" s="2"/>
      <c r="F161" s="2"/>
      <c r="G161" s="2"/>
    </row>
    <row r="162" spans="1:7" s="12" customFormat="1">
      <c r="A162" s="25"/>
      <c r="C162" s="136"/>
      <c r="D162" s="2"/>
      <c r="E162" s="2"/>
      <c r="F162" s="2"/>
      <c r="G162" s="2"/>
    </row>
    <row r="163" spans="1:7" s="12" customFormat="1">
      <c r="A163" s="25"/>
      <c r="C163" s="136"/>
      <c r="D163" s="2"/>
      <c r="E163" s="2"/>
      <c r="F163" s="2"/>
      <c r="G163" s="2"/>
    </row>
    <row r="164" spans="1:7" s="12" customFormat="1">
      <c r="A164" s="25"/>
      <c r="C164" s="136"/>
      <c r="D164" s="2"/>
      <c r="E164" s="2"/>
      <c r="F164" s="2"/>
      <c r="G164" s="2"/>
    </row>
    <row r="165" spans="1:7" s="12" customFormat="1">
      <c r="A165" s="25"/>
      <c r="C165" s="136"/>
      <c r="D165" s="2"/>
      <c r="E165" s="2"/>
      <c r="F165" s="2"/>
      <c r="G165" s="2"/>
    </row>
    <row r="166" spans="1:7" s="12" customFormat="1">
      <c r="A166" s="25"/>
      <c r="C166" s="136"/>
      <c r="D166" s="2"/>
      <c r="E166" s="2"/>
      <c r="F166" s="2"/>
      <c r="G166" s="2"/>
    </row>
    <row r="167" spans="1:7" s="12" customFormat="1">
      <c r="A167" s="25"/>
      <c r="C167" s="136"/>
      <c r="D167" s="2"/>
      <c r="E167" s="2"/>
      <c r="F167" s="2"/>
      <c r="G167" s="2"/>
    </row>
    <row r="168" spans="1:7" s="12" customFormat="1">
      <c r="A168" s="25"/>
      <c r="C168" s="136"/>
      <c r="D168" s="2"/>
      <c r="E168" s="2"/>
      <c r="F168" s="2"/>
      <c r="G168" s="2"/>
    </row>
    <row r="169" spans="1:7" s="12" customFormat="1">
      <c r="A169" s="25"/>
      <c r="C169" s="136"/>
      <c r="D169" s="2"/>
      <c r="E169" s="2"/>
      <c r="F169" s="2"/>
      <c r="G169" s="2"/>
    </row>
    <row r="170" spans="1:7" s="12" customFormat="1">
      <c r="A170" s="25"/>
      <c r="C170" s="136"/>
      <c r="D170" s="2"/>
      <c r="E170" s="2"/>
      <c r="F170" s="2"/>
      <c r="G170" s="2"/>
    </row>
    <row r="171" spans="1:7" s="12" customFormat="1">
      <c r="A171" s="25"/>
      <c r="C171" s="136"/>
      <c r="D171" s="2"/>
      <c r="E171" s="2"/>
      <c r="F171" s="2"/>
      <c r="G171" s="2"/>
    </row>
    <row r="172" spans="1:7" s="12" customFormat="1">
      <c r="A172" s="25"/>
      <c r="C172" s="136"/>
      <c r="D172" s="2"/>
      <c r="E172" s="2"/>
      <c r="F172" s="2"/>
      <c r="G172" s="2"/>
    </row>
    <row r="173" spans="1:7" s="12" customFormat="1">
      <c r="A173" s="25"/>
      <c r="C173" s="136"/>
      <c r="D173" s="2"/>
      <c r="E173" s="2"/>
      <c r="F173" s="2"/>
      <c r="G173" s="2"/>
    </row>
    <row r="174" spans="1:7" s="12" customFormat="1">
      <c r="A174" s="25"/>
      <c r="C174" s="136"/>
      <c r="D174" s="2"/>
      <c r="E174" s="2"/>
      <c r="F174" s="2"/>
      <c r="G174" s="2"/>
    </row>
    <row r="175" spans="1:7" s="12" customFormat="1">
      <c r="A175" s="25"/>
      <c r="C175" s="136"/>
      <c r="D175" s="2"/>
      <c r="E175" s="2"/>
      <c r="F175" s="2"/>
      <c r="G175" s="2"/>
    </row>
    <row r="176" spans="1:7" s="12" customFormat="1">
      <c r="A176" s="25"/>
      <c r="C176" s="136"/>
      <c r="D176" s="2"/>
      <c r="E176" s="2"/>
      <c r="F176" s="2"/>
      <c r="G176" s="2"/>
    </row>
    <row r="177" spans="1:7" s="12" customFormat="1">
      <c r="A177" s="25"/>
      <c r="C177" s="136"/>
      <c r="D177" s="2"/>
      <c r="E177" s="2"/>
      <c r="F177" s="2"/>
      <c r="G177" s="2"/>
    </row>
    <row r="178" spans="1:7" s="12" customFormat="1">
      <c r="A178" s="25"/>
      <c r="C178" s="136"/>
      <c r="D178" s="2"/>
      <c r="E178" s="2"/>
      <c r="F178" s="2"/>
      <c r="G178" s="2"/>
    </row>
    <row r="179" spans="1:7" s="12" customFormat="1">
      <c r="A179" s="25"/>
      <c r="C179" s="136"/>
      <c r="D179" s="2"/>
      <c r="E179" s="2"/>
      <c r="F179" s="2"/>
      <c r="G179" s="2"/>
    </row>
    <row r="180" spans="1:7" s="12" customFormat="1">
      <c r="A180" s="25"/>
      <c r="C180" s="136"/>
      <c r="D180" s="2"/>
      <c r="E180" s="2"/>
      <c r="F180" s="2"/>
      <c r="G180" s="2"/>
    </row>
    <row r="181" spans="1:7" s="12" customFormat="1">
      <c r="A181" s="25"/>
      <c r="C181" s="136"/>
      <c r="D181" s="2"/>
      <c r="E181" s="2"/>
      <c r="F181" s="2"/>
      <c r="G181" s="2"/>
    </row>
    <row r="182" spans="1:7" s="12" customFormat="1">
      <c r="A182" s="25"/>
      <c r="C182" s="136"/>
      <c r="D182" s="2"/>
      <c r="E182" s="2"/>
      <c r="F182" s="2"/>
      <c r="G182" s="2"/>
    </row>
    <row r="183" spans="1:7" s="12" customFormat="1">
      <c r="A183" s="25"/>
      <c r="C183" s="136"/>
      <c r="D183" s="2"/>
      <c r="E183" s="2"/>
      <c r="F183" s="2"/>
      <c r="G183" s="2"/>
    </row>
    <row r="184" spans="1:7" s="12" customFormat="1">
      <c r="A184" s="25"/>
      <c r="C184" s="136"/>
      <c r="D184" s="2"/>
      <c r="E184" s="2"/>
      <c r="F184" s="2"/>
      <c r="G184" s="2"/>
    </row>
    <row r="185" spans="1:7" s="12" customFormat="1">
      <c r="A185" s="25"/>
      <c r="C185" s="136"/>
      <c r="D185" s="2"/>
      <c r="E185" s="2"/>
      <c r="F185" s="2"/>
      <c r="G185" s="2"/>
    </row>
    <row r="186" spans="1:7" s="12" customFormat="1">
      <c r="A186" s="25"/>
      <c r="C186" s="136"/>
      <c r="D186" s="2"/>
      <c r="E186" s="2"/>
      <c r="F186" s="2"/>
      <c r="G186" s="2"/>
    </row>
    <row r="187" spans="1:7" s="12" customFormat="1">
      <c r="A187" s="25"/>
      <c r="C187" s="136"/>
      <c r="D187" s="2"/>
      <c r="E187" s="2"/>
      <c r="F187" s="2"/>
      <c r="G187" s="2"/>
    </row>
    <row r="188" spans="1:7" s="12" customFormat="1">
      <c r="A188" s="25"/>
      <c r="C188" s="136"/>
      <c r="D188" s="2"/>
      <c r="E188" s="2"/>
      <c r="F188" s="2"/>
      <c r="G188" s="2"/>
    </row>
    <row r="189" spans="1:7" s="12" customFormat="1">
      <c r="A189" s="25"/>
      <c r="C189" s="136"/>
      <c r="D189" s="2"/>
      <c r="E189" s="2"/>
      <c r="F189" s="2"/>
      <c r="G189" s="2"/>
    </row>
    <row r="190" spans="1:7" s="12" customFormat="1">
      <c r="A190" s="25"/>
      <c r="C190" s="136"/>
      <c r="D190" s="2"/>
      <c r="E190" s="2"/>
      <c r="F190" s="2"/>
      <c r="G190" s="2"/>
    </row>
    <row r="191" spans="1:7" s="12" customFormat="1">
      <c r="A191" s="25"/>
      <c r="C191" s="136"/>
      <c r="D191" s="2"/>
      <c r="E191" s="2"/>
      <c r="F191" s="2"/>
      <c r="G191" s="2"/>
    </row>
    <row r="192" spans="1:7" s="12" customFormat="1">
      <c r="A192" s="25"/>
      <c r="C192" s="136"/>
      <c r="D192" s="2"/>
      <c r="E192" s="2"/>
      <c r="F192" s="2"/>
      <c r="G192" s="2"/>
    </row>
    <row r="193" spans="1:7" s="12" customFormat="1">
      <c r="A193" s="25"/>
      <c r="C193" s="136"/>
      <c r="D193" s="2"/>
      <c r="E193" s="2"/>
      <c r="F193" s="2"/>
      <c r="G193" s="2"/>
    </row>
    <row r="194" spans="1:7" s="12" customFormat="1">
      <c r="A194" s="25"/>
      <c r="C194" s="136"/>
      <c r="D194" s="2"/>
      <c r="E194" s="2"/>
      <c r="F194" s="2"/>
      <c r="G194" s="2"/>
    </row>
    <row r="195" spans="1:7" s="12" customFormat="1">
      <c r="A195" s="25"/>
      <c r="C195" s="136"/>
      <c r="D195" s="2"/>
      <c r="E195" s="2"/>
      <c r="F195" s="2"/>
      <c r="G195" s="2"/>
    </row>
    <row r="196" spans="1:7" s="12" customFormat="1">
      <c r="A196" s="25"/>
      <c r="C196" s="136"/>
      <c r="D196" s="2"/>
      <c r="E196" s="2"/>
      <c r="F196" s="2"/>
      <c r="G196" s="2"/>
    </row>
    <row r="197" spans="1:7" s="12" customFormat="1">
      <c r="A197" s="25"/>
      <c r="C197" s="136"/>
      <c r="D197" s="2"/>
      <c r="E197" s="2"/>
      <c r="F197" s="2"/>
      <c r="G197" s="2"/>
    </row>
    <row r="198" spans="1:7" s="12" customFormat="1">
      <c r="A198" s="25"/>
      <c r="C198" s="136"/>
      <c r="D198" s="2"/>
      <c r="E198" s="2"/>
      <c r="F198" s="2"/>
      <c r="G198" s="2"/>
    </row>
    <row r="199" spans="1:7" s="12" customFormat="1">
      <c r="A199" s="25"/>
      <c r="C199" s="136"/>
      <c r="D199" s="2"/>
      <c r="E199" s="2"/>
      <c r="F199" s="2"/>
      <c r="G199" s="2"/>
    </row>
    <row r="200" spans="1:7" s="12" customFormat="1">
      <c r="A200" s="25"/>
      <c r="C200" s="136"/>
      <c r="D200" s="2"/>
      <c r="E200" s="2"/>
      <c r="F200" s="2"/>
      <c r="G200" s="2"/>
    </row>
    <row r="201" spans="1:7" s="12" customFormat="1">
      <c r="A201" s="25"/>
      <c r="C201" s="136"/>
      <c r="D201" s="2"/>
      <c r="E201" s="2"/>
      <c r="F201" s="2"/>
      <c r="G201" s="2"/>
    </row>
    <row r="202" spans="1:7" s="12" customFormat="1">
      <c r="A202" s="25"/>
      <c r="C202" s="136"/>
      <c r="D202" s="2"/>
      <c r="E202" s="2"/>
      <c r="F202" s="2"/>
      <c r="G202" s="2"/>
    </row>
    <row r="203" spans="1:7" s="12" customFormat="1">
      <c r="A203" s="25"/>
      <c r="C203" s="136"/>
      <c r="D203" s="2"/>
      <c r="E203" s="2"/>
      <c r="F203" s="2"/>
      <c r="G203" s="2"/>
    </row>
    <row r="204" spans="1:7" s="12" customFormat="1">
      <c r="A204" s="25"/>
      <c r="C204" s="136"/>
      <c r="D204" s="2"/>
      <c r="E204" s="2"/>
      <c r="F204" s="2"/>
      <c r="G204" s="2"/>
    </row>
    <row r="205" spans="1:7" s="12" customFormat="1">
      <c r="A205" s="25"/>
      <c r="C205" s="136"/>
      <c r="D205" s="2"/>
      <c r="E205" s="2"/>
      <c r="F205" s="2"/>
      <c r="G205" s="2"/>
    </row>
    <row r="206" spans="1:7" s="12" customFormat="1">
      <c r="A206" s="25"/>
      <c r="C206" s="136"/>
      <c r="D206" s="2"/>
      <c r="E206" s="2"/>
      <c r="F206" s="2"/>
      <c r="G206" s="2"/>
    </row>
    <row r="207" spans="1:7" s="12" customFormat="1">
      <c r="A207" s="25"/>
      <c r="C207" s="136"/>
      <c r="D207" s="2"/>
      <c r="E207" s="2"/>
      <c r="F207" s="2"/>
      <c r="G207" s="2"/>
    </row>
    <row r="208" spans="1:7" s="12" customFormat="1">
      <c r="A208" s="25"/>
      <c r="C208" s="136"/>
      <c r="D208" s="2"/>
      <c r="E208" s="2"/>
      <c r="F208" s="2"/>
      <c r="G208" s="2"/>
    </row>
    <row r="209" spans="1:7" s="12" customFormat="1">
      <c r="A209" s="25"/>
      <c r="C209" s="136"/>
      <c r="D209" s="2"/>
      <c r="E209" s="2"/>
      <c r="F209" s="2"/>
      <c r="G209" s="2"/>
    </row>
    <row r="210" spans="1:7" s="12" customFormat="1">
      <c r="A210" s="25"/>
      <c r="C210" s="136"/>
      <c r="D210" s="2"/>
      <c r="E210" s="2"/>
      <c r="F210" s="2"/>
      <c r="G210" s="2"/>
    </row>
    <row r="211" spans="1:7" s="12" customFormat="1">
      <c r="A211" s="25"/>
      <c r="C211" s="136"/>
      <c r="D211" s="2"/>
      <c r="E211" s="2"/>
      <c r="F211" s="2"/>
      <c r="G211" s="2"/>
    </row>
    <row r="212" spans="1:7" s="12" customFormat="1">
      <c r="A212" s="25"/>
      <c r="C212" s="136"/>
      <c r="D212" s="2"/>
      <c r="E212" s="2"/>
      <c r="F212" s="2"/>
      <c r="G212" s="2"/>
    </row>
    <row r="213" spans="1:7" s="12" customFormat="1">
      <c r="A213" s="25"/>
      <c r="C213" s="136"/>
      <c r="D213" s="2"/>
      <c r="E213" s="2"/>
      <c r="F213" s="2"/>
      <c r="G213" s="2"/>
    </row>
    <row r="214" spans="1:7" s="12" customFormat="1">
      <c r="A214" s="25"/>
      <c r="C214" s="136"/>
      <c r="D214" s="2"/>
      <c r="E214" s="2"/>
      <c r="F214" s="2"/>
      <c r="G214" s="2"/>
    </row>
    <row r="215" spans="1:7" s="12" customFormat="1">
      <c r="A215" s="25"/>
      <c r="C215" s="136"/>
      <c r="D215" s="2"/>
      <c r="E215" s="2"/>
      <c r="F215" s="2"/>
      <c r="G215" s="2"/>
    </row>
    <row r="216" spans="1:7" s="12" customFormat="1">
      <c r="A216" s="25"/>
      <c r="C216" s="136"/>
      <c r="D216" s="2"/>
      <c r="E216" s="2"/>
      <c r="F216" s="2"/>
      <c r="G216" s="2"/>
    </row>
    <row r="217" spans="1:7" s="12" customFormat="1">
      <c r="A217" s="25"/>
      <c r="C217" s="136"/>
      <c r="D217" s="2"/>
      <c r="E217" s="2"/>
      <c r="F217" s="2"/>
      <c r="G217" s="2"/>
    </row>
    <row r="218" spans="1:7" s="12" customFormat="1">
      <c r="A218" s="25"/>
      <c r="C218" s="136"/>
      <c r="D218" s="2"/>
      <c r="E218" s="2"/>
      <c r="F218" s="2"/>
      <c r="G218" s="2"/>
    </row>
    <row r="219" spans="1:7" s="12" customFormat="1">
      <c r="A219" s="25"/>
      <c r="C219" s="136"/>
      <c r="D219" s="2"/>
      <c r="E219" s="2"/>
      <c r="F219" s="2"/>
      <c r="G219" s="2"/>
    </row>
    <row r="220" spans="1:7" s="12" customFormat="1">
      <c r="A220" s="25"/>
      <c r="C220" s="136"/>
      <c r="D220" s="2"/>
      <c r="E220" s="2"/>
      <c r="F220" s="2"/>
      <c r="G220" s="2"/>
    </row>
    <row r="221" spans="1:7" s="12" customFormat="1">
      <c r="A221" s="25"/>
      <c r="C221" s="136"/>
      <c r="D221" s="2"/>
      <c r="E221" s="2"/>
      <c r="F221" s="2"/>
      <c r="G221" s="2"/>
    </row>
    <row r="222" spans="1:7" s="12" customFormat="1">
      <c r="A222" s="25"/>
      <c r="C222" s="136"/>
      <c r="D222" s="2"/>
      <c r="E222" s="2"/>
      <c r="F222" s="2"/>
      <c r="G222" s="2"/>
    </row>
    <row r="223" spans="1:7" s="12" customFormat="1">
      <c r="A223" s="25"/>
      <c r="C223" s="136"/>
      <c r="D223" s="2"/>
      <c r="E223" s="2"/>
      <c r="F223" s="2"/>
      <c r="G223" s="2"/>
    </row>
    <row r="224" spans="1:7" s="12" customFormat="1">
      <c r="A224" s="25"/>
      <c r="C224" s="136"/>
      <c r="D224" s="2"/>
      <c r="E224" s="2"/>
      <c r="F224" s="2"/>
      <c r="G224" s="2"/>
    </row>
    <row r="225" spans="1:7" s="12" customFormat="1">
      <c r="A225" s="25"/>
      <c r="C225" s="136"/>
      <c r="D225" s="2"/>
      <c r="E225" s="2"/>
      <c r="F225" s="2"/>
      <c r="G225" s="2"/>
    </row>
    <row r="226" spans="1:7" s="12" customFormat="1">
      <c r="A226" s="25"/>
      <c r="C226" s="136"/>
      <c r="D226" s="2"/>
      <c r="E226" s="2"/>
      <c r="F226" s="2"/>
      <c r="G226" s="2"/>
    </row>
    <row r="227" spans="1:7" s="12" customFormat="1">
      <c r="A227" s="25"/>
      <c r="C227" s="136"/>
      <c r="D227" s="2"/>
      <c r="E227" s="2"/>
      <c r="F227" s="2"/>
      <c r="G227" s="2"/>
    </row>
    <row r="228" spans="1:7" s="12" customFormat="1">
      <c r="A228" s="25"/>
      <c r="C228" s="136"/>
      <c r="D228" s="2"/>
      <c r="E228" s="2"/>
      <c r="F228" s="2"/>
      <c r="G228" s="2"/>
    </row>
    <row r="229" spans="1:7" s="12" customFormat="1">
      <c r="A229" s="25"/>
      <c r="C229" s="136"/>
      <c r="D229" s="2"/>
      <c r="E229" s="2"/>
      <c r="F229" s="2"/>
      <c r="G229" s="2"/>
    </row>
    <row r="230" spans="1:7" s="12" customFormat="1">
      <c r="A230" s="25"/>
      <c r="C230" s="136"/>
      <c r="D230" s="2"/>
      <c r="E230" s="2"/>
      <c r="F230" s="2"/>
      <c r="G230" s="2"/>
    </row>
    <row r="231" spans="1:7" s="12" customFormat="1">
      <c r="A231" s="25"/>
      <c r="C231" s="136"/>
      <c r="D231" s="2"/>
      <c r="E231" s="2"/>
      <c r="F231" s="2"/>
      <c r="G231" s="2"/>
    </row>
    <row r="232" spans="1:7" s="12" customFormat="1">
      <c r="A232" s="25"/>
      <c r="C232" s="136"/>
      <c r="D232" s="2"/>
      <c r="E232" s="2"/>
      <c r="F232" s="2"/>
      <c r="G232" s="2"/>
    </row>
    <row r="233" spans="1:7" s="12" customFormat="1">
      <c r="A233" s="25"/>
      <c r="C233" s="136"/>
      <c r="D233" s="2"/>
      <c r="E233" s="2"/>
      <c r="F233" s="2"/>
      <c r="G233" s="2"/>
    </row>
    <row r="234" spans="1:7" s="12" customFormat="1">
      <c r="A234" s="25"/>
      <c r="C234" s="136"/>
      <c r="D234" s="2"/>
      <c r="E234" s="2"/>
      <c r="F234" s="2"/>
      <c r="G234" s="2"/>
    </row>
    <row r="235" spans="1:7" s="12" customFormat="1">
      <c r="A235" s="25"/>
      <c r="C235" s="136"/>
      <c r="D235" s="2"/>
      <c r="E235" s="2"/>
      <c r="F235" s="2"/>
      <c r="G235" s="2"/>
    </row>
    <row r="236" spans="1:7" s="12" customFormat="1">
      <c r="A236" s="25"/>
      <c r="C236" s="136"/>
      <c r="D236" s="2"/>
      <c r="E236" s="2"/>
      <c r="F236" s="2"/>
      <c r="G236" s="2"/>
    </row>
    <row r="237" spans="1:7" s="12" customFormat="1">
      <c r="A237" s="25"/>
      <c r="C237" s="136"/>
      <c r="D237" s="2"/>
      <c r="E237" s="2"/>
      <c r="F237" s="2"/>
      <c r="G237" s="2"/>
    </row>
    <row r="238" spans="1:7" s="12" customFormat="1">
      <c r="A238" s="25"/>
      <c r="C238" s="136"/>
      <c r="D238" s="2"/>
      <c r="E238" s="2"/>
      <c r="F238" s="2"/>
      <c r="G238" s="2"/>
    </row>
    <row r="239" spans="1:7" s="12" customFormat="1">
      <c r="A239" s="25"/>
      <c r="C239" s="136"/>
      <c r="D239" s="2"/>
      <c r="E239" s="2"/>
      <c r="F239" s="2"/>
      <c r="G239" s="2"/>
    </row>
    <row r="240" spans="1:7" s="12" customFormat="1">
      <c r="A240" s="25"/>
      <c r="C240" s="136"/>
      <c r="D240" s="2"/>
      <c r="E240" s="2"/>
      <c r="F240" s="2"/>
      <c r="G240" s="2"/>
    </row>
    <row r="241" spans="1:7" s="12" customFormat="1">
      <c r="A241" s="25"/>
      <c r="C241" s="136"/>
      <c r="D241" s="2"/>
      <c r="E241" s="2"/>
      <c r="F241" s="2"/>
      <c r="G241" s="2"/>
    </row>
    <row r="242" spans="1:7" s="12" customFormat="1">
      <c r="A242" s="25"/>
      <c r="C242" s="136"/>
      <c r="D242" s="2"/>
      <c r="E242" s="2"/>
      <c r="F242" s="2"/>
      <c r="G242" s="2"/>
    </row>
    <row r="243" spans="1:7" s="12" customFormat="1">
      <c r="A243" s="25"/>
      <c r="C243" s="136"/>
      <c r="D243" s="2"/>
      <c r="E243" s="2"/>
      <c r="F243" s="2"/>
      <c r="G243" s="2"/>
    </row>
    <row r="244" spans="1:7" s="12" customFormat="1">
      <c r="A244" s="25"/>
      <c r="C244" s="136"/>
      <c r="D244" s="2"/>
      <c r="E244" s="2"/>
      <c r="F244" s="2"/>
      <c r="G244" s="2"/>
    </row>
    <row r="245" spans="1:7" s="12" customFormat="1">
      <c r="A245" s="25"/>
      <c r="C245" s="136"/>
      <c r="D245" s="2"/>
      <c r="E245" s="2"/>
      <c r="F245" s="2"/>
      <c r="G245" s="2"/>
    </row>
    <row r="246" spans="1:7" s="12" customFormat="1">
      <c r="A246" s="25"/>
      <c r="C246" s="136"/>
      <c r="D246" s="2"/>
      <c r="E246" s="2"/>
      <c r="F246" s="2"/>
      <c r="G246" s="2"/>
    </row>
    <row r="247" spans="1:7" s="12" customFormat="1">
      <c r="A247" s="25"/>
      <c r="C247" s="136"/>
      <c r="D247" s="2"/>
      <c r="E247" s="2"/>
      <c r="F247" s="2"/>
      <c r="G247" s="2"/>
    </row>
    <row r="248" spans="1:7" s="12" customFormat="1">
      <c r="A248" s="25"/>
      <c r="C248" s="136"/>
      <c r="D248" s="2"/>
      <c r="E248" s="2"/>
      <c r="F248" s="2"/>
      <c r="G248" s="2"/>
    </row>
  </sheetData>
  <sheetProtection formatCells="0" formatColumns="0" formatRows="0"/>
  <mergeCells count="31">
    <mergeCell ref="E2:G5"/>
    <mergeCell ref="B12:E12"/>
    <mergeCell ref="B16:G16"/>
    <mergeCell ref="E79:G79"/>
    <mergeCell ref="A29:G29"/>
    <mergeCell ref="A61:G61"/>
    <mergeCell ref="E78:G78"/>
    <mergeCell ref="A59:G59"/>
    <mergeCell ref="A65:G65"/>
    <mergeCell ref="A45:G45"/>
    <mergeCell ref="A52:G52"/>
    <mergeCell ref="A24:G24"/>
    <mergeCell ref="A15:B15"/>
    <mergeCell ref="A21:G21"/>
    <mergeCell ref="A26:A27"/>
    <mergeCell ref="B26:B27"/>
    <mergeCell ref="D26:G26"/>
    <mergeCell ref="A20:G20"/>
    <mergeCell ref="A22:G22"/>
    <mergeCell ref="A23:G23"/>
    <mergeCell ref="C26:C27"/>
    <mergeCell ref="B8:E8"/>
    <mergeCell ref="B7:E7"/>
    <mergeCell ref="B9:E9"/>
    <mergeCell ref="B18:G18"/>
    <mergeCell ref="D14:F14"/>
    <mergeCell ref="A13:B13"/>
    <mergeCell ref="D13:F13"/>
    <mergeCell ref="B10:E10"/>
    <mergeCell ref="B11:E11"/>
    <mergeCell ref="B14:C14"/>
  </mergeCells>
  <phoneticPr fontId="4" type="noConversion"/>
  <pageMargins left="0.78740157480314965" right="0.2" top="0.64" bottom="0.65" header="0.26" footer="0.19685039370078741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3399FF"/>
    <pageSetUpPr fitToPage="1"/>
  </sheetPr>
  <dimension ref="A1:P389"/>
  <sheetViews>
    <sheetView zoomScale="90" zoomScaleNormal="90" zoomScaleSheetLayoutView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H53" sqref="H53"/>
    </sheetView>
  </sheetViews>
  <sheetFormatPr defaultRowHeight="18.75"/>
  <cols>
    <col min="1" max="1" width="48.42578125" style="2" customWidth="1"/>
    <col min="2" max="2" width="14.85546875" style="12" customWidth="1"/>
    <col min="3" max="3" width="19.5703125" style="164" customWidth="1"/>
    <col min="4" max="4" width="20" style="167" customWidth="1"/>
    <col min="5" max="5" width="19.28515625" style="167" customWidth="1"/>
    <col min="6" max="6" width="17.28515625" style="2" customWidth="1"/>
    <col min="7" max="7" width="18.7109375" style="2" customWidth="1"/>
    <col min="8" max="8" width="21" style="2" customWidth="1"/>
    <col min="9" max="9" width="17.7109375" style="322" customWidth="1"/>
    <col min="10" max="10" width="15.28515625" style="280" customWidth="1"/>
    <col min="11" max="11" width="9.140625" style="280"/>
    <col min="12" max="12" width="14.42578125" style="280" customWidth="1"/>
    <col min="13" max="13" width="23.140625" style="280" customWidth="1"/>
    <col min="14" max="15" width="9.140625" style="280"/>
    <col min="16" max="16384" width="9.140625" style="2"/>
  </cols>
  <sheetData>
    <row r="1" spans="1:15">
      <c r="A1" s="357" t="s">
        <v>250</v>
      </c>
      <c r="B1" s="357"/>
      <c r="C1" s="357"/>
      <c r="D1" s="357"/>
      <c r="E1" s="357"/>
      <c r="F1" s="357"/>
      <c r="G1" s="357"/>
      <c r="H1" s="357"/>
    </row>
    <row r="2" spans="1:15">
      <c r="A2" s="19"/>
      <c r="B2" s="27"/>
      <c r="C2" s="158"/>
      <c r="D2" s="158"/>
      <c r="E2" s="158"/>
      <c r="F2" s="19"/>
      <c r="G2" s="19"/>
    </row>
    <row r="3" spans="1:15" ht="36" customHeight="1">
      <c r="A3" s="362" t="s">
        <v>201</v>
      </c>
      <c r="B3" s="358" t="s">
        <v>18</v>
      </c>
      <c r="C3" s="363" t="s">
        <v>479</v>
      </c>
      <c r="D3" s="358" t="s">
        <v>587</v>
      </c>
      <c r="E3" s="358"/>
      <c r="F3" s="358"/>
      <c r="G3" s="358"/>
      <c r="H3" s="358" t="s">
        <v>193</v>
      </c>
      <c r="I3" s="154"/>
    </row>
    <row r="4" spans="1:15" ht="75.75" customHeight="1">
      <c r="A4" s="362"/>
      <c r="B4" s="358"/>
      <c r="C4" s="363"/>
      <c r="D4" s="180" t="s">
        <v>473</v>
      </c>
      <c r="E4" s="180" t="s">
        <v>474</v>
      </c>
      <c r="F4" s="197" t="s">
        <v>478</v>
      </c>
      <c r="G4" s="197" t="s">
        <v>476</v>
      </c>
      <c r="H4" s="358"/>
      <c r="I4" s="154"/>
    </row>
    <row r="5" spans="1:15" ht="18" customHeight="1">
      <c r="A5" s="86">
        <v>1</v>
      </c>
      <c r="B5" s="85">
        <v>2</v>
      </c>
      <c r="C5" s="85">
        <v>3</v>
      </c>
      <c r="D5" s="85">
        <v>4</v>
      </c>
      <c r="E5" s="85">
        <v>5</v>
      </c>
      <c r="F5" s="85">
        <v>6</v>
      </c>
      <c r="G5" s="85">
        <v>7</v>
      </c>
      <c r="H5" s="85">
        <v>8</v>
      </c>
      <c r="I5" s="154"/>
    </row>
    <row r="6" spans="1:15" s="3" customFormat="1" ht="20.100000000000001" customHeight="1">
      <c r="A6" s="359" t="s">
        <v>207</v>
      </c>
      <c r="B6" s="360"/>
      <c r="C6" s="360"/>
      <c r="D6" s="360"/>
      <c r="E6" s="360"/>
      <c r="F6" s="360"/>
      <c r="G6" s="360"/>
      <c r="H6" s="361"/>
      <c r="I6" s="154"/>
      <c r="J6" s="322"/>
      <c r="K6" s="322"/>
      <c r="L6" s="322"/>
      <c r="M6" s="322"/>
      <c r="N6" s="322"/>
      <c r="O6" s="322"/>
    </row>
    <row r="7" spans="1:15" s="3" customFormat="1" ht="54" customHeight="1">
      <c r="A7" s="198" t="s">
        <v>89</v>
      </c>
      <c r="B7" s="199">
        <v>1000</v>
      </c>
      <c r="C7" s="259">
        <f>SUM(C8:C9)</f>
        <v>11306</v>
      </c>
      <c r="D7" s="259">
        <f t="shared" ref="D7" si="0">D8+D9</f>
        <v>14509</v>
      </c>
      <c r="E7" s="259">
        <f>SUM(E8:E9)</f>
        <v>15803</v>
      </c>
      <c r="F7" s="262">
        <f t="shared" ref="F7:F30" si="1">E7-D7</f>
        <v>1294</v>
      </c>
      <c r="G7" s="262">
        <f t="shared" ref="G7:G19" si="2">E7/D7*100</f>
        <v>108.91860224688124</v>
      </c>
      <c r="H7" s="263"/>
      <c r="I7" s="154"/>
      <c r="J7" s="322"/>
      <c r="K7" s="322"/>
      <c r="L7" s="322"/>
      <c r="M7" s="322"/>
      <c r="N7" s="322"/>
      <c r="O7" s="322"/>
    </row>
    <row r="8" spans="1:15" s="116" customFormat="1" ht="49.5" customHeight="1">
      <c r="A8" s="202" t="s">
        <v>459</v>
      </c>
      <c r="B8" s="203" t="s">
        <v>456</v>
      </c>
      <c r="C8" s="245">
        <f>10412+194</f>
        <v>10606</v>
      </c>
      <c r="D8" s="246">
        <v>14509</v>
      </c>
      <c r="E8" s="82">
        <v>15803</v>
      </c>
      <c r="F8" s="204">
        <f t="shared" si="1"/>
        <v>1294</v>
      </c>
      <c r="G8" s="204">
        <f t="shared" si="2"/>
        <v>108.91860224688124</v>
      </c>
      <c r="H8" s="202" t="s">
        <v>438</v>
      </c>
      <c r="I8" s="154"/>
      <c r="J8" s="322"/>
      <c r="K8" s="322"/>
      <c r="L8" s="322"/>
      <c r="M8" s="322"/>
      <c r="N8" s="322"/>
      <c r="O8" s="322"/>
    </row>
    <row r="9" spans="1:15" s="196" customFormat="1" ht="52.5" customHeight="1">
      <c r="A9" s="205" t="s">
        <v>458</v>
      </c>
      <c r="B9" s="86" t="s">
        <v>457</v>
      </c>
      <c r="C9" s="245">
        <f>894-194</f>
        <v>700</v>
      </c>
      <c r="D9" s="246">
        <v>0</v>
      </c>
      <c r="E9" s="82">
        <v>0</v>
      </c>
      <c r="F9" s="200">
        <f t="shared" si="1"/>
        <v>0</v>
      </c>
      <c r="G9" s="274">
        <v>0</v>
      </c>
      <c r="H9" s="275"/>
      <c r="I9" s="154"/>
      <c r="J9" s="322"/>
      <c r="K9" s="322"/>
      <c r="L9" s="322"/>
      <c r="M9" s="205"/>
      <c r="N9" s="322"/>
      <c r="O9" s="322"/>
    </row>
    <row r="10" spans="1:15" s="3" customFormat="1" ht="56.25">
      <c r="A10" s="198" t="s">
        <v>107</v>
      </c>
      <c r="B10" s="199">
        <v>1010</v>
      </c>
      <c r="C10" s="258">
        <f>SUM(C11:C18)</f>
        <v>109521</v>
      </c>
      <c r="D10" s="258">
        <f>SUM(D11:D18)</f>
        <v>168755</v>
      </c>
      <c r="E10" s="258">
        <f>SUM(E11:E18)</f>
        <v>136518</v>
      </c>
      <c r="F10" s="264">
        <f t="shared" si="1"/>
        <v>-32237</v>
      </c>
      <c r="G10" s="264">
        <f t="shared" si="2"/>
        <v>80.89715860270806</v>
      </c>
      <c r="H10" s="265"/>
      <c r="I10" s="154"/>
      <c r="J10" s="154"/>
      <c r="K10" s="322"/>
      <c r="L10" s="322"/>
      <c r="M10" s="322"/>
      <c r="N10" s="322"/>
      <c r="O10" s="322"/>
    </row>
    <row r="11" spans="1:15" s="119" customFormat="1" ht="37.5">
      <c r="A11" s="205" t="s">
        <v>441</v>
      </c>
      <c r="B11" s="85">
        <v>1011</v>
      </c>
      <c r="C11" s="245">
        <f>2650-69+6496-8</f>
        <v>9069</v>
      </c>
      <c r="D11" s="118">
        <v>8371</v>
      </c>
      <c r="E11" s="245">
        <f>3047+141-1854+218+275+1982+4902-3</f>
        <v>8708</v>
      </c>
      <c r="F11" s="204">
        <f t="shared" si="1"/>
        <v>337</v>
      </c>
      <c r="G11" s="204">
        <f t="shared" si="2"/>
        <v>104.02580336877314</v>
      </c>
      <c r="H11" s="154"/>
      <c r="I11" s="154"/>
      <c r="J11" s="322"/>
      <c r="K11" s="322"/>
      <c r="L11" s="322"/>
      <c r="M11" s="322"/>
      <c r="N11" s="322"/>
      <c r="O11" s="322"/>
    </row>
    <row r="12" spans="1:15" ht="27" customHeight="1">
      <c r="A12" s="205" t="s">
        <v>61</v>
      </c>
      <c r="B12" s="85">
        <v>1012</v>
      </c>
      <c r="C12" s="245">
        <v>433</v>
      </c>
      <c r="D12" s="246">
        <v>563</v>
      </c>
      <c r="E12" s="245">
        <f>326+76+130</f>
        <v>532</v>
      </c>
      <c r="F12" s="204">
        <f t="shared" si="1"/>
        <v>-31</v>
      </c>
      <c r="G12" s="204">
        <f t="shared" si="2"/>
        <v>94.493783303730012</v>
      </c>
      <c r="H12" s="205" t="s">
        <v>364</v>
      </c>
      <c r="I12" s="154"/>
    </row>
    <row r="13" spans="1:15" s="1" customFormat="1" ht="25.5" customHeight="1">
      <c r="A13" s="205" t="s">
        <v>60</v>
      </c>
      <c r="B13" s="85">
        <v>1013</v>
      </c>
      <c r="C13" s="245">
        <f>16349-6496</f>
        <v>9853</v>
      </c>
      <c r="D13" s="246">
        <v>25118</v>
      </c>
      <c r="E13" s="245">
        <f>26359+144+237</f>
        <v>26740</v>
      </c>
      <c r="F13" s="204">
        <f t="shared" si="1"/>
        <v>1622</v>
      </c>
      <c r="G13" s="204">
        <f t="shared" si="2"/>
        <v>106.45752050322479</v>
      </c>
      <c r="H13" s="82" t="s">
        <v>365</v>
      </c>
      <c r="I13" s="243"/>
    </row>
    <row r="14" spans="1:15" s="1" customFormat="1" ht="29.25" customHeight="1">
      <c r="A14" s="205" t="s">
        <v>38</v>
      </c>
      <c r="B14" s="253">
        <v>1014</v>
      </c>
      <c r="C14" s="245">
        <f>53701+5739+8</f>
        <v>59448</v>
      </c>
      <c r="D14" s="246">
        <v>80332</v>
      </c>
      <c r="E14" s="245">
        <f>61249+6640+1866+181+2417</f>
        <v>72353</v>
      </c>
      <c r="F14" s="180">
        <f t="shared" si="1"/>
        <v>-7979</v>
      </c>
      <c r="G14" s="180">
        <f t="shared" si="2"/>
        <v>90.067469999502066</v>
      </c>
      <c r="H14" s="205" t="s">
        <v>433</v>
      </c>
      <c r="I14" s="243"/>
    </row>
    <row r="15" spans="1:15" s="1" customFormat="1" ht="20.100000000000001" customHeight="1">
      <c r="A15" s="205" t="s">
        <v>39</v>
      </c>
      <c r="B15" s="85">
        <v>1015</v>
      </c>
      <c r="C15" s="245">
        <v>11566</v>
      </c>
      <c r="D15" s="246">
        <v>17284</v>
      </c>
      <c r="E15" s="245">
        <f>13161+386+532</f>
        <v>14079</v>
      </c>
      <c r="F15" s="204">
        <f t="shared" si="1"/>
        <v>-3205</v>
      </c>
      <c r="G15" s="204">
        <f t="shared" si="2"/>
        <v>81.456838694746594</v>
      </c>
      <c r="H15" s="82" t="s">
        <v>365</v>
      </c>
      <c r="I15" s="243"/>
    </row>
    <row r="16" spans="1:15" s="1" customFormat="1" ht="35.25" customHeight="1">
      <c r="A16" s="205" t="s">
        <v>372</v>
      </c>
      <c r="B16" s="85">
        <v>1016</v>
      </c>
      <c r="C16" s="245">
        <v>10547</v>
      </c>
      <c r="D16" s="246">
        <v>27499</v>
      </c>
      <c r="E16" s="245">
        <f>5401+602</f>
        <v>6003</v>
      </c>
      <c r="F16" s="204">
        <f t="shared" si="1"/>
        <v>-21496</v>
      </c>
      <c r="G16" s="204">
        <f t="shared" si="2"/>
        <v>21.829884723080838</v>
      </c>
      <c r="H16" s="205" t="s">
        <v>366</v>
      </c>
      <c r="I16" s="243"/>
    </row>
    <row r="17" spans="1:15" s="1" customFormat="1" ht="35.25" customHeight="1">
      <c r="A17" s="205" t="s">
        <v>59</v>
      </c>
      <c r="B17" s="85">
        <v>1017</v>
      </c>
      <c r="C17" s="245">
        <v>6309</v>
      </c>
      <c r="D17" s="312">
        <v>6050</v>
      </c>
      <c r="E17" s="245">
        <v>6129</v>
      </c>
      <c r="F17" s="204">
        <f t="shared" si="1"/>
        <v>79</v>
      </c>
      <c r="G17" s="204">
        <f t="shared" si="2"/>
        <v>101.30578512396696</v>
      </c>
      <c r="H17" s="205" t="s">
        <v>450</v>
      </c>
      <c r="I17" s="243"/>
    </row>
    <row r="18" spans="1:15" s="1" customFormat="1" ht="30.75" customHeight="1">
      <c r="A18" s="205" t="s">
        <v>105</v>
      </c>
      <c r="B18" s="85">
        <v>1018</v>
      </c>
      <c r="C18" s="245">
        <f>C19+C20</f>
        <v>2296</v>
      </c>
      <c r="D18" s="246">
        <f t="shared" ref="D18:E18" si="3">SUM(D19:D20)</f>
        <v>3538</v>
      </c>
      <c r="E18" s="245">
        <f t="shared" si="3"/>
        <v>1974</v>
      </c>
      <c r="F18" s="204">
        <f t="shared" si="1"/>
        <v>-1564</v>
      </c>
      <c r="G18" s="204">
        <f t="shared" si="2"/>
        <v>55.794234030525722</v>
      </c>
      <c r="H18" s="205"/>
      <c r="I18" s="243"/>
    </row>
    <row r="19" spans="1:15" s="1" customFormat="1">
      <c r="A19" s="205" t="s">
        <v>270</v>
      </c>
      <c r="B19" s="223" t="s">
        <v>513</v>
      </c>
      <c r="C19" s="245">
        <v>724</v>
      </c>
      <c r="D19" s="246">
        <v>270</v>
      </c>
      <c r="E19" s="245">
        <v>280</v>
      </c>
      <c r="F19" s="204">
        <f t="shared" si="1"/>
        <v>10</v>
      </c>
      <c r="G19" s="204">
        <f t="shared" si="2"/>
        <v>103.7037037037037</v>
      </c>
      <c r="H19" s="205"/>
      <c r="I19" s="243"/>
    </row>
    <row r="20" spans="1:15" s="1" customFormat="1" ht="164.25" customHeight="1">
      <c r="A20" s="273" t="s">
        <v>589</v>
      </c>
      <c r="B20" s="223" t="s">
        <v>514</v>
      </c>
      <c r="C20" s="245">
        <f>1113+238+221</f>
        <v>1572</v>
      </c>
      <c r="D20" s="246">
        <v>3268</v>
      </c>
      <c r="E20" s="245">
        <f>1608+50+34+2</f>
        <v>1694</v>
      </c>
      <c r="F20" s="204">
        <f t="shared" si="1"/>
        <v>-1574</v>
      </c>
      <c r="G20" s="204">
        <v>0</v>
      </c>
      <c r="H20" s="202" t="s">
        <v>364</v>
      </c>
      <c r="I20" s="243"/>
    </row>
    <row r="21" spans="1:15" s="1" customFormat="1" ht="20.100000000000001" customHeight="1">
      <c r="A21" s="206" t="s">
        <v>23</v>
      </c>
      <c r="B21" s="199">
        <v>1020</v>
      </c>
      <c r="C21" s="258">
        <f>C7-C10</f>
        <v>-98215</v>
      </c>
      <c r="D21" s="258">
        <f>D7-D10</f>
        <v>-154246</v>
      </c>
      <c r="E21" s="258">
        <f>E7-E10</f>
        <v>-120715</v>
      </c>
      <c r="F21" s="262">
        <f t="shared" si="1"/>
        <v>33531</v>
      </c>
      <c r="G21" s="262">
        <f>E21/D21*100</f>
        <v>78.26134875458682</v>
      </c>
      <c r="H21" s="263"/>
      <c r="I21" s="243"/>
    </row>
    <row r="22" spans="1:15" s="130" customFormat="1" ht="38.25" customHeight="1">
      <c r="A22" s="198" t="s">
        <v>177</v>
      </c>
      <c r="B22" s="199">
        <v>1030</v>
      </c>
      <c r="C22" s="259">
        <f t="shared" ref="C22:D22" si="4">C23+C24+C27+C28+C29+C30+C34+C35+C36+C38</f>
        <v>178874</v>
      </c>
      <c r="D22" s="259">
        <f t="shared" si="4"/>
        <v>181592</v>
      </c>
      <c r="E22" s="259">
        <f>E23+E24+E27+E28+E29+E30+E34+E35+E36+E38+E37</f>
        <v>147457</v>
      </c>
      <c r="F22" s="262">
        <f t="shared" si="1"/>
        <v>-34135</v>
      </c>
      <c r="G22" s="262">
        <f>E22/D22*100</f>
        <v>81.20236574298427</v>
      </c>
      <c r="H22" s="265"/>
      <c r="I22" s="243"/>
      <c r="J22" s="90"/>
      <c r="K22" s="1"/>
      <c r="L22" s="1"/>
      <c r="M22" s="1"/>
      <c r="N22" s="1"/>
      <c r="O22" s="1"/>
    </row>
    <row r="23" spans="1:15" s="1" customFormat="1" ht="37.5" customHeight="1">
      <c r="A23" s="205" t="s">
        <v>277</v>
      </c>
      <c r="B23" s="86" t="s">
        <v>266</v>
      </c>
      <c r="C23" s="245"/>
      <c r="D23" s="245">
        <v>0</v>
      </c>
      <c r="E23" s="82">
        <v>485</v>
      </c>
      <c r="F23" s="204">
        <f t="shared" si="1"/>
        <v>485</v>
      </c>
      <c r="G23" s="204" t="e">
        <f>E23/D23*100</f>
        <v>#DIV/0!</v>
      </c>
      <c r="H23" s="205"/>
      <c r="I23" s="243"/>
    </row>
    <row r="24" spans="1:15" s="3" customFormat="1" ht="38.25" customHeight="1">
      <c r="A24" s="205" t="s">
        <v>524</v>
      </c>
      <c r="B24" s="86" t="s">
        <v>271</v>
      </c>
      <c r="C24" s="245"/>
      <c r="D24" s="245">
        <f t="shared" ref="D24:E24" si="5">D25+D26</f>
        <v>344</v>
      </c>
      <c r="E24" s="245">
        <f t="shared" si="5"/>
        <v>509</v>
      </c>
      <c r="F24" s="204">
        <f t="shared" si="1"/>
        <v>165</v>
      </c>
      <c r="G24" s="204">
        <f>E24/D24*100</f>
        <v>147.96511627906978</v>
      </c>
      <c r="H24" s="205"/>
      <c r="I24" s="243"/>
      <c r="J24" s="322"/>
      <c r="K24" s="322"/>
      <c r="L24" s="322"/>
      <c r="M24" s="322"/>
      <c r="N24" s="322"/>
      <c r="O24" s="322"/>
    </row>
    <row r="25" spans="1:15" s="286" customFormat="1" ht="38.25" customHeight="1">
      <c r="A25" s="289" t="s">
        <v>525</v>
      </c>
      <c r="B25" s="285" t="s">
        <v>526</v>
      </c>
      <c r="C25" s="245"/>
      <c r="D25" s="246">
        <v>245</v>
      </c>
      <c r="E25" s="245">
        <v>485</v>
      </c>
      <c r="F25" s="204"/>
      <c r="G25" s="204">
        <f t="shared" ref="G25:G29" si="6">E25/D25*100</f>
        <v>197.9591836734694</v>
      </c>
      <c r="H25" s="205"/>
      <c r="I25" s="243"/>
      <c r="J25" s="322"/>
      <c r="K25" s="322"/>
      <c r="L25" s="322"/>
      <c r="M25" s="322"/>
      <c r="N25" s="322"/>
      <c r="O25" s="322"/>
    </row>
    <row r="26" spans="1:15" s="286" customFormat="1" ht="38.25" customHeight="1">
      <c r="A26" s="287" t="s">
        <v>278</v>
      </c>
      <c r="B26" s="285" t="s">
        <v>527</v>
      </c>
      <c r="C26" s="245"/>
      <c r="D26" s="245">
        <v>99</v>
      </c>
      <c r="E26" s="245">
        <v>24</v>
      </c>
      <c r="F26" s="204"/>
      <c r="G26" s="204">
        <f t="shared" si="6"/>
        <v>24.242424242424242</v>
      </c>
      <c r="H26" s="205"/>
      <c r="I26" s="243"/>
      <c r="J26" s="322"/>
      <c r="K26" s="322"/>
      <c r="L26" s="322"/>
      <c r="M26" s="322"/>
      <c r="N26" s="322"/>
      <c r="O26" s="322"/>
    </row>
    <row r="27" spans="1:15">
      <c r="A27" s="287" t="s">
        <v>528</v>
      </c>
      <c r="B27" s="86" t="s">
        <v>272</v>
      </c>
      <c r="D27" s="245">
        <v>0</v>
      </c>
      <c r="E27" s="82"/>
      <c r="F27" s="204">
        <f t="shared" si="1"/>
        <v>0</v>
      </c>
      <c r="G27" s="204" t="e">
        <f t="shared" si="6"/>
        <v>#DIV/0!</v>
      </c>
      <c r="H27" s="205"/>
      <c r="I27" s="154"/>
    </row>
    <row r="28" spans="1:15" ht="56.25">
      <c r="A28" s="205" t="s">
        <v>384</v>
      </c>
      <c r="B28" s="86" t="s">
        <v>273</v>
      </c>
      <c r="D28" s="245">
        <v>0</v>
      </c>
      <c r="E28" s="82"/>
      <c r="F28" s="204">
        <f t="shared" si="1"/>
        <v>0</v>
      </c>
      <c r="G28" s="204" t="e">
        <f t="shared" si="6"/>
        <v>#DIV/0!</v>
      </c>
      <c r="H28" s="205"/>
      <c r="I28" s="154"/>
    </row>
    <row r="29" spans="1:15" ht="37.5">
      <c r="A29" s="287" t="s">
        <v>529</v>
      </c>
      <c r="B29" s="86" t="s">
        <v>274</v>
      </c>
      <c r="C29" s="245">
        <v>15</v>
      </c>
      <c r="D29" s="245">
        <v>0</v>
      </c>
      <c r="E29" s="245">
        <v>19</v>
      </c>
      <c r="F29" s="204">
        <f t="shared" si="1"/>
        <v>19</v>
      </c>
      <c r="G29" s="204" t="e">
        <f t="shared" si="6"/>
        <v>#DIV/0!</v>
      </c>
      <c r="H29" s="205"/>
    </row>
    <row r="30" spans="1:15" ht="36.75" customHeight="1">
      <c r="A30" s="205" t="s">
        <v>279</v>
      </c>
      <c r="B30" s="86" t="s">
        <v>275</v>
      </c>
      <c r="C30" s="180">
        <f>C31+C32+C33</f>
        <v>95978</v>
      </c>
      <c r="D30" s="246">
        <f t="shared" ref="D30" si="7">D31+D32+D33</f>
        <v>180363</v>
      </c>
      <c r="E30" s="245">
        <f t="shared" ref="E30" si="8">E31+E32+E33</f>
        <v>144029</v>
      </c>
      <c r="F30" s="204">
        <f t="shared" si="1"/>
        <v>-36334</v>
      </c>
      <c r="G30" s="204">
        <f>E30/D30*100</f>
        <v>79.85507005317055</v>
      </c>
      <c r="H30" s="205" t="s">
        <v>367</v>
      </c>
      <c r="I30" s="154"/>
    </row>
    <row r="31" spans="1:15">
      <c r="A31" s="205" t="s">
        <v>428</v>
      </c>
      <c r="B31" s="86" t="s">
        <v>430</v>
      </c>
      <c r="C31" s="245">
        <v>83017</v>
      </c>
      <c r="D31" s="245">
        <v>143851</v>
      </c>
      <c r="E31" s="245">
        <v>128480</v>
      </c>
      <c r="F31" s="201">
        <f t="shared" ref="F31:F93" si="9">E31-D31</f>
        <v>-15371</v>
      </c>
      <c r="G31" s="201">
        <f t="shared" ref="G31:G44" si="10">E31/D31*100</f>
        <v>89.314638062995741</v>
      </c>
      <c r="H31" s="205"/>
      <c r="I31" s="154"/>
    </row>
    <row r="32" spans="1:15">
      <c r="A32" s="205" t="s">
        <v>429</v>
      </c>
      <c r="B32" s="86" t="s">
        <v>431</v>
      </c>
      <c r="C32" s="245">
        <v>11190</v>
      </c>
      <c r="D32" s="246">
        <v>33850</v>
      </c>
      <c r="E32" s="245">
        <v>13052</v>
      </c>
      <c r="F32" s="204">
        <f t="shared" si="9"/>
        <v>-20798</v>
      </c>
      <c r="G32" s="204">
        <f t="shared" si="10"/>
        <v>38.558345642540623</v>
      </c>
      <c r="H32" s="205"/>
      <c r="I32" s="154"/>
    </row>
    <row r="33" spans="1:15">
      <c r="A33" s="205" t="s">
        <v>530</v>
      </c>
      <c r="B33" s="86" t="s">
        <v>432</v>
      </c>
      <c r="C33" s="245">
        <f>1751+20</f>
        <v>1771</v>
      </c>
      <c r="D33" s="246">
        <v>2662</v>
      </c>
      <c r="E33" s="245">
        <f>2063+434</f>
        <v>2497</v>
      </c>
      <c r="F33" s="201">
        <f t="shared" si="9"/>
        <v>-165</v>
      </c>
      <c r="G33" s="201">
        <f t="shared" si="10"/>
        <v>93.801652892561975</v>
      </c>
      <c r="H33" s="205"/>
      <c r="I33" s="154"/>
    </row>
    <row r="34" spans="1:15" s="117" customFormat="1" ht="37.5">
      <c r="A34" s="205" t="s">
        <v>437</v>
      </c>
      <c r="B34" s="86" t="s">
        <v>276</v>
      </c>
      <c r="C34" s="245">
        <v>720</v>
      </c>
      <c r="D34" s="246">
        <v>720</v>
      </c>
      <c r="E34" s="245">
        <v>640</v>
      </c>
      <c r="F34" s="204">
        <f t="shared" si="9"/>
        <v>-80</v>
      </c>
      <c r="G34" s="204">
        <f t="shared" si="10"/>
        <v>88.888888888888886</v>
      </c>
      <c r="H34" s="205"/>
      <c r="I34" s="154"/>
      <c r="J34" s="280"/>
      <c r="K34" s="280"/>
      <c r="L34" s="280"/>
      <c r="M34" s="280"/>
      <c r="N34" s="280"/>
      <c r="O34" s="280"/>
    </row>
    <row r="35" spans="1:15" s="117" customFormat="1" ht="37.5">
      <c r="A35" s="205" t="s">
        <v>374</v>
      </c>
      <c r="B35" s="86" t="s">
        <v>375</v>
      </c>
      <c r="C35" s="245">
        <f>852+830</f>
        <v>1682</v>
      </c>
      <c r="D35" s="246">
        <v>165</v>
      </c>
      <c r="E35" s="245">
        <v>54</v>
      </c>
      <c r="F35" s="204">
        <f t="shared" si="9"/>
        <v>-111</v>
      </c>
      <c r="G35" s="204">
        <f t="shared" si="10"/>
        <v>32.727272727272727</v>
      </c>
      <c r="H35" s="205"/>
      <c r="I35" s="154"/>
      <c r="J35" s="280"/>
      <c r="K35" s="280"/>
      <c r="L35" s="280"/>
      <c r="M35" s="280"/>
      <c r="N35" s="280"/>
      <c r="O35" s="280"/>
    </row>
    <row r="36" spans="1:15" s="117" customFormat="1" ht="54.75" customHeight="1">
      <c r="A36" s="205" t="s">
        <v>531</v>
      </c>
      <c r="B36" s="86" t="s">
        <v>452</v>
      </c>
      <c r="C36" s="245">
        <v>403</v>
      </c>
      <c r="D36" s="245"/>
      <c r="E36" s="245">
        <f>665+53</f>
        <v>718</v>
      </c>
      <c r="F36" s="204">
        <f t="shared" si="9"/>
        <v>718</v>
      </c>
      <c r="G36" s="204" t="e">
        <f t="shared" si="10"/>
        <v>#DIV/0!</v>
      </c>
      <c r="H36" s="205"/>
      <c r="I36" s="154"/>
      <c r="J36" s="280"/>
      <c r="K36" s="280"/>
      <c r="L36" s="280"/>
      <c r="M36" s="280"/>
      <c r="N36" s="280"/>
      <c r="O36" s="280"/>
    </row>
    <row r="37" spans="1:15" s="280" customFormat="1" ht="54.75" customHeight="1">
      <c r="A37" s="205" t="s">
        <v>323</v>
      </c>
      <c r="B37" s="294" t="s">
        <v>556</v>
      </c>
      <c r="D37" s="245"/>
      <c r="E37" s="245">
        <v>1003</v>
      </c>
      <c r="F37" s="204">
        <f t="shared" si="9"/>
        <v>1003</v>
      </c>
      <c r="G37" s="204" t="e">
        <f t="shared" si="10"/>
        <v>#DIV/0!</v>
      </c>
      <c r="H37" s="205"/>
      <c r="I37" s="154"/>
    </row>
    <row r="38" spans="1:15" s="124" customFormat="1" ht="42" customHeight="1">
      <c r="A38" s="205" t="s">
        <v>178</v>
      </c>
      <c r="B38" s="207">
        <v>1031</v>
      </c>
      <c r="C38" s="245">
        <v>80076</v>
      </c>
      <c r="D38" s="245">
        <v>0</v>
      </c>
      <c r="E38" s="82"/>
      <c r="F38" s="204">
        <f t="shared" si="9"/>
        <v>0</v>
      </c>
      <c r="G38" s="204" t="e">
        <f t="shared" si="10"/>
        <v>#DIV/0!</v>
      </c>
      <c r="H38" s="205"/>
      <c r="I38" s="154"/>
      <c r="J38" s="280"/>
      <c r="K38" s="280"/>
      <c r="L38" s="280"/>
      <c r="M38" s="280"/>
      <c r="N38" s="280"/>
      <c r="O38" s="280"/>
    </row>
    <row r="39" spans="1:15" s="94" customFormat="1" ht="37.5">
      <c r="A39" s="198" t="s">
        <v>184</v>
      </c>
      <c r="B39" s="199">
        <v>1040</v>
      </c>
      <c r="C39" s="258">
        <f>C40+C47+C48+C49+C50+C51+C52+C53+C54+C55+C56+C57+C58+C59+C60+C61+C62+C63+C64+C65+C72</f>
        <v>19880</v>
      </c>
      <c r="D39" s="258">
        <f t="shared" ref="D39" si="11">D40+D47+D48+D49+D50+D51+D52+D53+D54+D55+D56+D57+D58+D59+D60+D61+D62+D63+D64+D65+D72</f>
        <v>24727</v>
      </c>
      <c r="E39" s="258">
        <f>E40+E47+E48+E49+E50+E51+E52+E53+E54+E55+E56+E57+E58+E59+E60+E61+E62+E63+E64+E65+E71+E72</f>
        <v>25255</v>
      </c>
      <c r="F39" s="264">
        <f t="shared" si="9"/>
        <v>528</v>
      </c>
      <c r="G39" s="264">
        <f t="shared" si="10"/>
        <v>102.13531766894488</v>
      </c>
      <c r="H39" s="265"/>
      <c r="I39" s="154"/>
      <c r="J39" s="90"/>
      <c r="K39" s="280"/>
      <c r="L39" s="280"/>
      <c r="M39" s="280"/>
      <c r="N39" s="280"/>
      <c r="O39" s="280"/>
    </row>
    <row r="40" spans="1:15" ht="37.5">
      <c r="A40" s="205" t="s">
        <v>88</v>
      </c>
      <c r="B40" s="207">
        <v>1041</v>
      </c>
      <c r="C40" s="180">
        <f>C41+C42+C43+C44+C45+C46</f>
        <v>431</v>
      </c>
      <c r="D40" s="246">
        <f t="shared" ref="D40" si="12">D41+D42+D43+D44+D45+D46</f>
        <v>771</v>
      </c>
      <c r="E40" s="180">
        <f>E41+E42+E43+E44+E45+E46</f>
        <v>542</v>
      </c>
      <c r="F40" s="204">
        <f t="shared" si="9"/>
        <v>-229</v>
      </c>
      <c r="G40" s="204">
        <f t="shared" si="10"/>
        <v>70.298313878080407</v>
      </c>
      <c r="H40" s="205" t="s">
        <v>364</v>
      </c>
      <c r="I40" s="154"/>
    </row>
    <row r="41" spans="1:15" ht="39" customHeight="1">
      <c r="A41" s="205" t="s">
        <v>331</v>
      </c>
      <c r="B41" s="86" t="s">
        <v>325</v>
      </c>
      <c r="C41" s="245">
        <f>5+4</f>
        <v>9</v>
      </c>
      <c r="D41" s="246">
        <v>71</v>
      </c>
      <c r="E41" s="245">
        <v>41</v>
      </c>
      <c r="F41" s="204">
        <f t="shared" si="9"/>
        <v>-30</v>
      </c>
      <c r="G41" s="204">
        <f t="shared" si="10"/>
        <v>57.74647887323944</v>
      </c>
      <c r="H41" s="205"/>
      <c r="I41" s="154"/>
    </row>
    <row r="42" spans="1:15" ht="36" customHeight="1">
      <c r="A42" s="205" t="s">
        <v>332</v>
      </c>
      <c r="B42" s="86" t="s">
        <v>326</v>
      </c>
      <c r="C42" s="245">
        <f>80+33</f>
        <v>113</v>
      </c>
      <c r="D42" s="246">
        <v>212</v>
      </c>
      <c r="E42" s="245">
        <v>95</v>
      </c>
      <c r="F42" s="204">
        <f t="shared" si="9"/>
        <v>-117</v>
      </c>
      <c r="G42" s="204">
        <f t="shared" si="10"/>
        <v>44.811320754716981</v>
      </c>
      <c r="H42" s="205"/>
      <c r="I42" s="154"/>
    </row>
    <row r="43" spans="1:15" s="255" customFormat="1" ht="33" customHeight="1">
      <c r="A43" s="205" t="s">
        <v>38</v>
      </c>
      <c r="B43" s="254" t="s">
        <v>327</v>
      </c>
      <c r="C43" s="245">
        <v>238</v>
      </c>
      <c r="D43" s="246">
        <v>386</v>
      </c>
      <c r="E43" s="245">
        <v>314</v>
      </c>
      <c r="F43" s="180">
        <f t="shared" si="9"/>
        <v>-72</v>
      </c>
      <c r="G43" s="180">
        <f t="shared" si="10"/>
        <v>81.347150259067362</v>
      </c>
      <c r="H43" s="205"/>
      <c r="I43" s="154"/>
      <c r="J43" s="280"/>
      <c r="K43" s="280"/>
      <c r="L43" s="280"/>
      <c r="M43" s="280"/>
      <c r="N43" s="280"/>
      <c r="O43" s="280"/>
    </row>
    <row r="44" spans="1:15" ht="22.5" customHeight="1">
      <c r="A44" s="205" t="s">
        <v>39</v>
      </c>
      <c r="B44" s="86" t="s">
        <v>328</v>
      </c>
      <c r="C44" s="245">
        <v>52</v>
      </c>
      <c r="D44" s="246">
        <v>85</v>
      </c>
      <c r="E44" s="245">
        <v>72</v>
      </c>
      <c r="F44" s="204">
        <f t="shared" si="9"/>
        <v>-13</v>
      </c>
      <c r="G44" s="204">
        <f t="shared" si="10"/>
        <v>84.705882352941174</v>
      </c>
      <c r="H44" s="205"/>
      <c r="I44" s="154"/>
    </row>
    <row r="45" spans="1:15" ht="22.5" customHeight="1">
      <c r="A45" s="205" t="s">
        <v>333</v>
      </c>
      <c r="B45" s="86" t="s">
        <v>329</v>
      </c>
      <c r="C45" s="245">
        <v>4</v>
      </c>
      <c r="D45" s="246">
        <v>4</v>
      </c>
      <c r="E45" s="245">
        <v>4</v>
      </c>
      <c r="F45" s="204">
        <f t="shared" si="9"/>
        <v>0</v>
      </c>
      <c r="G45" s="204">
        <v>1</v>
      </c>
      <c r="H45" s="205"/>
      <c r="I45" s="154"/>
    </row>
    <row r="46" spans="1:15" ht="20.25" customHeight="1">
      <c r="A46" s="205" t="s">
        <v>167</v>
      </c>
      <c r="B46" s="86" t="s">
        <v>330</v>
      </c>
      <c r="C46" s="245">
        <f>12+3</f>
        <v>15</v>
      </c>
      <c r="D46" s="246">
        <v>13</v>
      </c>
      <c r="E46" s="245">
        <f>16</f>
        <v>16</v>
      </c>
      <c r="F46" s="201">
        <f t="shared" si="9"/>
        <v>3</v>
      </c>
      <c r="G46" s="201">
        <f t="shared" ref="G46" si="13">E46/D46*100</f>
        <v>123.07692307692308</v>
      </c>
      <c r="H46" s="205"/>
      <c r="I46" s="154"/>
    </row>
    <row r="47" spans="1:15" ht="35.25" customHeight="1">
      <c r="A47" s="205" t="s">
        <v>171</v>
      </c>
      <c r="B47" s="207">
        <v>1042</v>
      </c>
      <c r="C47" s="245"/>
      <c r="D47" s="245">
        <v>0</v>
      </c>
      <c r="E47" s="245"/>
      <c r="F47" s="201">
        <f t="shared" si="9"/>
        <v>0</v>
      </c>
      <c r="G47" s="201">
        <v>0</v>
      </c>
      <c r="H47" s="205"/>
      <c r="I47" s="154"/>
    </row>
    <row r="48" spans="1:15" ht="21" customHeight="1">
      <c r="A48" s="205" t="s">
        <v>58</v>
      </c>
      <c r="B48" s="207">
        <v>1043</v>
      </c>
      <c r="C48" s="245"/>
      <c r="D48" s="245">
        <v>0</v>
      </c>
      <c r="E48" s="245"/>
      <c r="F48" s="204">
        <f t="shared" si="9"/>
        <v>0</v>
      </c>
      <c r="G48" s="204">
        <v>0</v>
      </c>
      <c r="H48" s="205"/>
      <c r="I48" s="154"/>
    </row>
    <row r="49" spans="1:15" ht="18.75" customHeight="1">
      <c r="A49" s="205" t="s">
        <v>21</v>
      </c>
      <c r="B49" s="207">
        <v>1044</v>
      </c>
      <c r="C49" s="245">
        <f>3-3</f>
        <v>0</v>
      </c>
      <c r="D49" s="245">
        <v>0</v>
      </c>
      <c r="E49" s="245"/>
      <c r="F49" s="204">
        <f t="shared" si="9"/>
        <v>0</v>
      </c>
      <c r="G49" s="204">
        <v>0</v>
      </c>
      <c r="H49" s="205"/>
      <c r="I49" s="154"/>
    </row>
    <row r="50" spans="1:15" ht="39" customHeight="1">
      <c r="A50" s="205" t="s">
        <v>22</v>
      </c>
      <c r="B50" s="207">
        <v>1045</v>
      </c>
      <c r="C50" s="245">
        <f>267+28</f>
        <v>295</v>
      </c>
      <c r="D50" s="246">
        <v>274</v>
      </c>
      <c r="E50" s="245">
        <f>75+271</f>
        <v>346</v>
      </c>
      <c r="F50" s="204"/>
      <c r="G50" s="204">
        <v>0</v>
      </c>
      <c r="H50" s="205"/>
      <c r="I50" s="154"/>
    </row>
    <row r="51" spans="1:15" ht="20.100000000000001" customHeight="1">
      <c r="A51" s="205" t="s">
        <v>36</v>
      </c>
      <c r="B51" s="207">
        <v>1046</v>
      </c>
      <c r="C51" s="245">
        <f>59-12</f>
        <v>47</v>
      </c>
      <c r="D51" s="245">
        <v>65</v>
      </c>
      <c r="E51" s="245">
        <f>68-11</f>
        <v>57</v>
      </c>
      <c r="F51" s="204"/>
      <c r="G51" s="204">
        <v>0</v>
      </c>
      <c r="H51" s="205"/>
      <c r="I51" s="154"/>
    </row>
    <row r="52" spans="1:15" ht="20.100000000000001" customHeight="1">
      <c r="A52" s="205" t="s">
        <v>37</v>
      </c>
      <c r="B52" s="207">
        <v>1047</v>
      </c>
      <c r="C52" s="245">
        <v>144</v>
      </c>
      <c r="D52" s="245">
        <v>147</v>
      </c>
      <c r="E52" s="245">
        <f>107+1</f>
        <v>108</v>
      </c>
      <c r="F52" s="204"/>
      <c r="G52" s="204">
        <v>0</v>
      </c>
      <c r="H52" s="205" t="s">
        <v>364</v>
      </c>
      <c r="I52" s="154"/>
    </row>
    <row r="53" spans="1:15" s="255" customFormat="1" ht="39" customHeight="1">
      <c r="A53" s="205" t="s">
        <v>38</v>
      </c>
      <c r="B53" s="207">
        <v>1048</v>
      </c>
      <c r="C53" s="245">
        <v>13459</v>
      </c>
      <c r="D53" s="245">
        <v>16892</v>
      </c>
      <c r="E53" s="245">
        <f>16513+1671-314</f>
        <v>17870</v>
      </c>
      <c r="F53" s="180"/>
      <c r="G53" s="180">
        <f t="shared" ref="G53:G64" si="14">E53/D53*100</f>
        <v>105.78972294577315</v>
      </c>
      <c r="H53" s="256" t="s">
        <v>368</v>
      </c>
      <c r="I53" s="154"/>
      <c r="J53" s="280"/>
      <c r="K53" s="280"/>
      <c r="L53" s="280"/>
      <c r="M53" s="280"/>
      <c r="N53" s="280"/>
      <c r="O53" s="280"/>
    </row>
    <row r="54" spans="1:15" s="1" customFormat="1" ht="20.100000000000001" customHeight="1">
      <c r="A54" s="205" t="s">
        <v>39</v>
      </c>
      <c r="B54" s="207">
        <v>1049</v>
      </c>
      <c r="C54" s="245">
        <f>2817-52</f>
        <v>2765</v>
      </c>
      <c r="D54" s="245">
        <v>3700</v>
      </c>
      <c r="E54" s="245">
        <f>3432-72</f>
        <v>3360</v>
      </c>
      <c r="F54" s="201"/>
      <c r="G54" s="201">
        <f t="shared" si="14"/>
        <v>90.810810810810821</v>
      </c>
      <c r="H54" s="224" t="s">
        <v>365</v>
      </c>
      <c r="I54" s="154"/>
      <c r="J54" s="280"/>
    </row>
    <row r="55" spans="1:15" s="1" customFormat="1" ht="34.5" customHeight="1">
      <c r="A55" s="205" t="s">
        <v>40</v>
      </c>
      <c r="B55" s="207">
        <v>1050</v>
      </c>
      <c r="C55" s="245">
        <v>345</v>
      </c>
      <c r="D55" s="245">
        <v>449</v>
      </c>
      <c r="E55" s="245">
        <f>190-4</f>
        <v>186</v>
      </c>
      <c r="F55" s="204"/>
      <c r="G55" s="204">
        <f t="shared" si="14"/>
        <v>41.425389755011139</v>
      </c>
      <c r="H55" s="205"/>
      <c r="I55" s="243"/>
      <c r="J55" s="280"/>
    </row>
    <row r="56" spans="1:15" s="1" customFormat="1" ht="56.25" customHeight="1">
      <c r="A56" s="205" t="s">
        <v>41</v>
      </c>
      <c r="B56" s="207">
        <v>1051</v>
      </c>
      <c r="C56" s="245"/>
      <c r="D56" s="245">
        <v>0</v>
      </c>
      <c r="E56" s="245"/>
      <c r="F56" s="201"/>
      <c r="G56" s="201">
        <v>0</v>
      </c>
      <c r="H56" s="205"/>
      <c r="I56" s="243"/>
    </row>
    <row r="57" spans="1:15" s="1" customFormat="1" ht="54.75" customHeight="1">
      <c r="A57" s="205" t="s">
        <v>42</v>
      </c>
      <c r="B57" s="207">
        <v>1052</v>
      </c>
      <c r="C57" s="245"/>
      <c r="D57" s="245">
        <v>0</v>
      </c>
      <c r="E57" s="245"/>
      <c r="F57" s="204"/>
      <c r="G57" s="201">
        <v>0</v>
      </c>
      <c r="H57" s="205"/>
      <c r="I57" s="243"/>
    </row>
    <row r="58" spans="1:15" s="1" customFormat="1" ht="37.5">
      <c r="A58" s="205" t="s">
        <v>43</v>
      </c>
      <c r="B58" s="207">
        <v>1053</v>
      </c>
      <c r="C58" s="245"/>
      <c r="D58" s="245">
        <v>0</v>
      </c>
      <c r="E58" s="245"/>
      <c r="F58" s="204"/>
      <c r="G58" s="201">
        <v>0</v>
      </c>
      <c r="H58" s="205"/>
      <c r="I58" s="243"/>
    </row>
    <row r="59" spans="1:15" s="1" customFormat="1">
      <c r="A59" s="205" t="s">
        <v>44</v>
      </c>
      <c r="B59" s="207">
        <v>1054</v>
      </c>
      <c r="C59" s="245"/>
      <c r="D59" s="245">
        <v>0</v>
      </c>
      <c r="E59" s="245"/>
      <c r="F59" s="204"/>
      <c r="G59" s="204" t="e">
        <f t="shared" si="14"/>
        <v>#DIV/0!</v>
      </c>
      <c r="H59" s="205"/>
      <c r="I59" s="243"/>
    </row>
    <row r="60" spans="1:15" s="1" customFormat="1">
      <c r="A60" s="208" t="s">
        <v>62</v>
      </c>
      <c r="B60" s="209">
        <v>1055</v>
      </c>
      <c r="C60" s="247">
        <v>20</v>
      </c>
      <c r="D60" s="245">
        <v>24</v>
      </c>
      <c r="E60" s="247">
        <v>13</v>
      </c>
      <c r="F60" s="204"/>
      <c r="G60" s="204">
        <f t="shared" si="14"/>
        <v>54.166666666666664</v>
      </c>
      <c r="H60" s="202"/>
      <c r="I60" s="243"/>
    </row>
    <row r="61" spans="1:15" s="1" customFormat="1" ht="30.75" customHeight="1">
      <c r="A61" s="205" t="s">
        <v>45</v>
      </c>
      <c r="B61" s="207">
        <v>1056</v>
      </c>
      <c r="C61" s="245">
        <v>555</v>
      </c>
      <c r="D61" s="245">
        <v>525</v>
      </c>
      <c r="E61" s="245">
        <v>458</v>
      </c>
      <c r="F61" s="204"/>
      <c r="G61" s="204">
        <f t="shared" si="14"/>
        <v>87.238095238095241</v>
      </c>
      <c r="H61" s="205"/>
      <c r="I61" s="243"/>
    </row>
    <row r="62" spans="1:15" s="1" customFormat="1" ht="28.5" customHeight="1">
      <c r="A62" s="205" t="s">
        <v>46</v>
      </c>
      <c r="B62" s="207">
        <v>1057</v>
      </c>
      <c r="C62" s="245"/>
      <c r="D62" s="245">
        <v>0</v>
      </c>
      <c r="E62" s="245"/>
      <c r="F62" s="204"/>
      <c r="G62" s="204">
        <v>0</v>
      </c>
      <c r="H62" s="205"/>
      <c r="I62" s="243"/>
    </row>
    <row r="63" spans="1:15" s="1" customFormat="1" ht="37.5" customHeight="1">
      <c r="A63" s="205" t="s">
        <v>47</v>
      </c>
      <c r="B63" s="207">
        <v>1058</v>
      </c>
      <c r="C63" s="245">
        <v>15</v>
      </c>
      <c r="D63" s="245">
        <v>24</v>
      </c>
      <c r="E63" s="245">
        <f>9+2</f>
        <v>11</v>
      </c>
      <c r="F63" s="204"/>
      <c r="G63" s="204">
        <f t="shared" si="14"/>
        <v>45.833333333333329</v>
      </c>
      <c r="H63" s="205"/>
      <c r="I63" s="243"/>
    </row>
    <row r="64" spans="1:15" s="1" customFormat="1" ht="34.5" customHeight="1">
      <c r="A64" s="202" t="s">
        <v>48</v>
      </c>
      <c r="B64" s="210">
        <v>1059</v>
      </c>
      <c r="C64" s="245">
        <v>7</v>
      </c>
      <c r="D64" s="245">
        <v>25</v>
      </c>
      <c r="E64" s="245">
        <v>6</v>
      </c>
      <c r="F64" s="204"/>
      <c r="G64" s="204">
        <f t="shared" si="14"/>
        <v>24</v>
      </c>
      <c r="H64" s="202"/>
      <c r="I64" s="243"/>
    </row>
    <row r="65" spans="1:13" s="1" customFormat="1" ht="71.25" customHeight="1">
      <c r="A65" s="205" t="s">
        <v>65</v>
      </c>
      <c r="B65" s="207">
        <v>1060</v>
      </c>
      <c r="C65" s="180">
        <f>C66+C67+C68+C69+C70</f>
        <v>271</v>
      </c>
      <c r="D65" s="246">
        <f t="shared" ref="D65" si="15">SUM(D66:D70)</f>
        <v>1465</v>
      </c>
      <c r="E65" s="180">
        <f>E66+E67+E68+E69+E70</f>
        <v>1924</v>
      </c>
      <c r="F65" s="204">
        <f t="shared" si="9"/>
        <v>459</v>
      </c>
      <c r="G65" s="204">
        <v>2</v>
      </c>
      <c r="H65" s="82"/>
      <c r="I65" s="243"/>
    </row>
    <row r="66" spans="1:13" s="1" customFormat="1" ht="37.5">
      <c r="A66" s="205" t="s">
        <v>220</v>
      </c>
      <c r="B66" s="86" t="s">
        <v>280</v>
      </c>
      <c r="C66" s="245">
        <f>31+5+4+128+12+33-1-33-4</f>
        <v>175</v>
      </c>
      <c r="D66" s="245">
        <v>90</v>
      </c>
      <c r="E66" s="245">
        <f>203</f>
        <v>203</v>
      </c>
      <c r="F66" s="201">
        <f t="shared" si="9"/>
        <v>113</v>
      </c>
      <c r="G66" s="201">
        <f t="shared" ref="G66:G69" si="16">E66/D66*100</f>
        <v>225.55555555555554</v>
      </c>
      <c r="H66" s="205" t="s">
        <v>364</v>
      </c>
      <c r="I66" s="243"/>
    </row>
    <row r="67" spans="1:13" s="1" customFormat="1">
      <c r="A67" s="205" t="s">
        <v>60</v>
      </c>
      <c r="B67" s="86" t="s">
        <v>281</v>
      </c>
      <c r="C67" s="245">
        <v>96</v>
      </c>
      <c r="D67" s="245">
        <v>146</v>
      </c>
      <c r="E67" s="245">
        <v>141</v>
      </c>
      <c r="F67" s="201">
        <f t="shared" si="9"/>
        <v>-5</v>
      </c>
      <c r="G67" s="201">
        <f t="shared" si="16"/>
        <v>96.575342465753423</v>
      </c>
      <c r="H67" s="82" t="s">
        <v>365</v>
      </c>
      <c r="I67" s="243"/>
    </row>
    <row r="68" spans="1:13" s="1" customFormat="1">
      <c r="A68" s="205" t="s">
        <v>270</v>
      </c>
      <c r="B68" s="86" t="s">
        <v>282</v>
      </c>
      <c r="C68" s="245">
        <v>0</v>
      </c>
      <c r="D68" s="245">
        <v>1082</v>
      </c>
      <c r="E68" s="245">
        <v>959</v>
      </c>
      <c r="F68" s="204">
        <f t="shared" si="9"/>
        <v>-123</v>
      </c>
      <c r="G68" s="204">
        <f t="shared" si="16"/>
        <v>88.632162661737524</v>
      </c>
      <c r="H68" s="82" t="s">
        <v>365</v>
      </c>
      <c r="I68" s="243"/>
    </row>
    <row r="69" spans="1:13" s="1" customFormat="1">
      <c r="A69" s="205" t="s">
        <v>439</v>
      </c>
      <c r="B69" s="86" t="s">
        <v>283</v>
      </c>
      <c r="C69" s="245"/>
      <c r="D69" s="245">
        <v>0</v>
      </c>
      <c r="E69" s="245">
        <v>547</v>
      </c>
      <c r="F69" s="204">
        <f t="shared" si="9"/>
        <v>547</v>
      </c>
      <c r="G69" s="204" t="e">
        <f t="shared" si="16"/>
        <v>#DIV/0!</v>
      </c>
      <c r="H69" s="82"/>
      <c r="I69" s="243"/>
    </row>
    <row r="70" spans="1:13" s="1" customFormat="1">
      <c r="A70" s="202" t="s">
        <v>167</v>
      </c>
      <c r="B70" s="203" t="s">
        <v>440</v>
      </c>
      <c r="C70" s="245"/>
      <c r="D70" s="245">
        <v>147</v>
      </c>
      <c r="E70" s="245">
        <f>50+29-5</f>
        <v>74</v>
      </c>
      <c r="F70" s="204">
        <f t="shared" si="9"/>
        <v>-73</v>
      </c>
      <c r="G70" s="204">
        <v>0</v>
      </c>
      <c r="H70" s="96" t="s">
        <v>365</v>
      </c>
      <c r="I70" s="243"/>
    </row>
    <row r="71" spans="1:13" s="1" customFormat="1" ht="37.5">
      <c r="A71" s="205" t="s">
        <v>49</v>
      </c>
      <c r="B71" s="207">
        <v>1061</v>
      </c>
      <c r="C71" s="245"/>
      <c r="D71" s="245">
        <v>0</v>
      </c>
      <c r="E71" s="245"/>
      <c r="F71" s="204">
        <f t="shared" si="9"/>
        <v>0</v>
      </c>
      <c r="G71" s="204">
        <v>0</v>
      </c>
      <c r="H71" s="205"/>
      <c r="I71" s="243"/>
    </row>
    <row r="72" spans="1:13" s="1" customFormat="1" ht="37.5">
      <c r="A72" s="205" t="s">
        <v>92</v>
      </c>
      <c r="B72" s="207">
        <v>1062</v>
      </c>
      <c r="C72" s="245">
        <f>C73+C74+C75+C76+C77+C78+C79+C80+C81+C82+C83+C84+C85</f>
        <v>1526</v>
      </c>
      <c r="D72" s="245">
        <f t="shared" ref="D72:E72" si="17">SUM(D73:D85)</f>
        <v>366</v>
      </c>
      <c r="E72" s="245">
        <f t="shared" si="17"/>
        <v>374</v>
      </c>
      <c r="F72" s="204">
        <f t="shared" si="9"/>
        <v>8</v>
      </c>
      <c r="G72" s="204">
        <v>0</v>
      </c>
      <c r="H72" s="205"/>
      <c r="I72" s="243"/>
    </row>
    <row r="73" spans="1:13" s="1" customFormat="1">
      <c r="A73" s="205" t="s">
        <v>291</v>
      </c>
      <c r="B73" s="86" t="s">
        <v>259</v>
      </c>
      <c r="C73" s="245">
        <v>52</v>
      </c>
      <c r="D73" s="245">
        <v>54</v>
      </c>
      <c r="E73" s="245">
        <v>81</v>
      </c>
      <c r="F73" s="204">
        <f t="shared" si="9"/>
        <v>27</v>
      </c>
      <c r="G73" s="204">
        <f t="shared" ref="G73:G85" si="18">E73/D73*100</f>
        <v>150</v>
      </c>
      <c r="H73" s="205"/>
      <c r="I73" s="243"/>
    </row>
    <row r="74" spans="1:13" s="1" customFormat="1" ht="78.75" customHeight="1">
      <c r="A74" s="205" t="s">
        <v>443</v>
      </c>
      <c r="B74" s="295" t="s">
        <v>260</v>
      </c>
      <c r="C74" s="245"/>
      <c r="D74" s="245">
        <v>0</v>
      </c>
      <c r="E74" s="245">
        <v>0</v>
      </c>
      <c r="F74" s="201">
        <f t="shared" si="9"/>
        <v>0</v>
      </c>
      <c r="G74" s="201" t="e">
        <f t="shared" si="18"/>
        <v>#DIV/0!</v>
      </c>
      <c r="H74" s="205"/>
      <c r="I74" s="243"/>
      <c r="M74" s="323"/>
    </row>
    <row r="75" spans="1:13" s="1" customFormat="1">
      <c r="A75" s="205" t="s">
        <v>292</v>
      </c>
      <c r="B75" s="86" t="s">
        <v>261</v>
      </c>
      <c r="C75" s="245">
        <v>60</v>
      </c>
      <c r="D75" s="245">
        <v>60</v>
      </c>
      <c r="E75" s="245">
        <v>134</v>
      </c>
      <c r="F75" s="204">
        <f t="shared" si="9"/>
        <v>74</v>
      </c>
      <c r="G75" s="204">
        <f t="shared" si="18"/>
        <v>223.33333333333334</v>
      </c>
      <c r="H75" s="205"/>
      <c r="I75" s="243"/>
    </row>
    <row r="76" spans="1:13" s="1" customFormat="1">
      <c r="A76" s="205" t="s">
        <v>293</v>
      </c>
      <c r="B76" s="86" t="s">
        <v>262</v>
      </c>
      <c r="C76" s="318">
        <v>16</v>
      </c>
      <c r="D76" s="245">
        <v>15</v>
      </c>
      <c r="E76" s="254">
        <v>58</v>
      </c>
      <c r="F76" s="201">
        <f t="shared" si="9"/>
        <v>43</v>
      </c>
      <c r="G76" s="201">
        <f t="shared" si="18"/>
        <v>386.66666666666669</v>
      </c>
      <c r="H76" s="205"/>
      <c r="I76" s="243"/>
    </row>
    <row r="77" spans="1:13" s="1" customFormat="1" ht="37.5">
      <c r="A77" s="205" t="s">
        <v>294</v>
      </c>
      <c r="B77" s="86" t="s">
        <v>284</v>
      </c>
      <c r="C77" s="245">
        <f>21+4</f>
        <v>25</v>
      </c>
      <c r="D77" s="245">
        <v>50</v>
      </c>
      <c r="E77" s="245">
        <v>32</v>
      </c>
      <c r="F77" s="204">
        <f t="shared" si="9"/>
        <v>-18</v>
      </c>
      <c r="G77" s="204">
        <f t="shared" si="18"/>
        <v>64</v>
      </c>
      <c r="H77" s="205"/>
      <c r="I77" s="243"/>
    </row>
    <row r="78" spans="1:13" s="1" customFormat="1">
      <c r="A78" s="205" t="s">
        <v>295</v>
      </c>
      <c r="B78" s="86" t="s">
        <v>285</v>
      </c>
      <c r="C78" s="245"/>
      <c r="D78" s="245">
        <v>0</v>
      </c>
      <c r="E78" s="245"/>
      <c r="F78" s="204">
        <f t="shared" si="9"/>
        <v>0</v>
      </c>
      <c r="G78" s="204">
        <v>0</v>
      </c>
      <c r="H78" s="205"/>
      <c r="I78" s="243"/>
    </row>
    <row r="79" spans="1:13" s="1" customFormat="1" ht="75">
      <c r="A79" s="205" t="s">
        <v>435</v>
      </c>
      <c r="B79" s="86" t="s">
        <v>286</v>
      </c>
      <c r="C79" s="245"/>
      <c r="D79" s="245">
        <v>32</v>
      </c>
      <c r="E79" s="245"/>
      <c r="F79" s="204">
        <f t="shared" si="9"/>
        <v>-32</v>
      </c>
      <c r="G79" s="204">
        <f t="shared" si="18"/>
        <v>0</v>
      </c>
      <c r="H79" s="205" t="s">
        <v>436</v>
      </c>
      <c r="I79" s="243"/>
    </row>
    <row r="80" spans="1:13" s="1" customFormat="1">
      <c r="A80" s="202" t="s">
        <v>296</v>
      </c>
      <c r="B80" s="203" t="s">
        <v>287</v>
      </c>
      <c r="C80" s="245"/>
      <c r="D80" s="245">
        <v>6</v>
      </c>
      <c r="E80" s="82">
        <v>3</v>
      </c>
      <c r="F80" s="204">
        <f t="shared" si="9"/>
        <v>-3</v>
      </c>
      <c r="G80" s="204">
        <v>0</v>
      </c>
      <c r="H80" s="205"/>
      <c r="I80" s="243"/>
    </row>
    <row r="81" spans="1:15" s="1" customFormat="1" ht="37.5">
      <c r="A81" s="205" t="s">
        <v>297</v>
      </c>
      <c r="B81" s="86" t="s">
        <v>288</v>
      </c>
      <c r="C81" s="245">
        <v>16</v>
      </c>
      <c r="D81" s="245">
        <v>22</v>
      </c>
      <c r="E81" s="82">
        <v>21</v>
      </c>
      <c r="F81" s="204">
        <f t="shared" si="9"/>
        <v>-1</v>
      </c>
      <c r="G81" s="204">
        <f t="shared" si="18"/>
        <v>95.454545454545453</v>
      </c>
      <c r="H81" s="205" t="s">
        <v>438</v>
      </c>
      <c r="I81" s="243"/>
    </row>
    <row r="82" spans="1:15" s="1" customFormat="1">
      <c r="A82" s="205" t="s">
        <v>298</v>
      </c>
      <c r="B82" s="86" t="s">
        <v>289</v>
      </c>
      <c r="C82" s="245"/>
      <c r="D82" s="245">
        <v>0</v>
      </c>
      <c r="E82" s="82"/>
      <c r="F82" s="204">
        <f t="shared" si="9"/>
        <v>0</v>
      </c>
      <c r="G82" s="204">
        <v>0</v>
      </c>
      <c r="H82" s="205"/>
      <c r="I82" s="243"/>
    </row>
    <row r="83" spans="1:15" s="1" customFormat="1">
      <c r="A83" s="205" t="s">
        <v>358</v>
      </c>
      <c r="B83" s="86" t="s">
        <v>290</v>
      </c>
      <c r="C83" s="245"/>
      <c r="D83" s="245">
        <v>0</v>
      </c>
      <c r="E83" s="82"/>
      <c r="F83" s="204">
        <f t="shared" si="9"/>
        <v>0</v>
      </c>
      <c r="G83" s="204">
        <v>0</v>
      </c>
      <c r="H83" s="205"/>
      <c r="I83" s="243"/>
    </row>
    <row r="84" spans="1:15" s="1" customFormat="1" ht="29.25" customHeight="1">
      <c r="A84" s="205" t="s">
        <v>359</v>
      </c>
      <c r="B84" s="86" t="s">
        <v>356</v>
      </c>
      <c r="C84" s="245">
        <v>1230</v>
      </c>
      <c r="D84" s="247">
        <v>0</v>
      </c>
      <c r="E84" s="82"/>
      <c r="F84" s="204">
        <f t="shared" si="9"/>
        <v>0</v>
      </c>
      <c r="G84" s="204">
        <v>0</v>
      </c>
      <c r="H84" s="205"/>
      <c r="I84" s="243"/>
    </row>
    <row r="85" spans="1:15" s="1" customFormat="1" ht="37.5">
      <c r="A85" s="205" t="s">
        <v>299</v>
      </c>
      <c r="B85" s="86" t="s">
        <v>357</v>
      </c>
      <c r="C85" s="245">
        <f>5+23+45+17+37</f>
        <v>127</v>
      </c>
      <c r="D85" s="246">
        <v>127</v>
      </c>
      <c r="E85" s="245">
        <f>42+3</f>
        <v>45</v>
      </c>
      <c r="F85" s="204">
        <f t="shared" si="9"/>
        <v>-82</v>
      </c>
      <c r="G85" s="204">
        <f t="shared" si="18"/>
        <v>35.433070866141733</v>
      </c>
      <c r="H85" s="205" t="s">
        <v>364</v>
      </c>
      <c r="I85" s="243"/>
    </row>
    <row r="86" spans="1:15" s="1" customFormat="1">
      <c r="A86" s="206" t="s">
        <v>185</v>
      </c>
      <c r="B86" s="211">
        <v>1070</v>
      </c>
      <c r="C86" s="200"/>
      <c r="D86" s="156">
        <v>0</v>
      </c>
      <c r="E86" s="156">
        <f t="shared" ref="E86" si="19">SUM(E87:E92)</f>
        <v>0</v>
      </c>
      <c r="F86" s="204">
        <f t="shared" si="9"/>
        <v>0</v>
      </c>
      <c r="G86" s="204">
        <v>0</v>
      </c>
      <c r="H86" s="205"/>
      <c r="I86" s="243"/>
    </row>
    <row r="87" spans="1:15" s="1" customFormat="1">
      <c r="A87" s="205" t="s">
        <v>159</v>
      </c>
      <c r="B87" s="207">
        <v>1071</v>
      </c>
      <c r="C87" s="180"/>
      <c r="D87" s="82">
        <v>0</v>
      </c>
      <c r="E87" s="179"/>
      <c r="F87" s="204">
        <f t="shared" si="9"/>
        <v>0</v>
      </c>
      <c r="G87" s="204">
        <v>3</v>
      </c>
      <c r="H87" s="205"/>
      <c r="I87" s="243"/>
    </row>
    <row r="88" spans="1:15" s="1" customFormat="1">
      <c r="A88" s="205" t="s">
        <v>160</v>
      </c>
      <c r="B88" s="207">
        <v>1072</v>
      </c>
      <c r="C88" s="180">
        <v>0</v>
      </c>
      <c r="D88" s="82">
        <v>0</v>
      </c>
      <c r="E88" s="82"/>
      <c r="F88" s="201">
        <f t="shared" si="9"/>
        <v>0</v>
      </c>
      <c r="G88" s="201">
        <v>0</v>
      </c>
      <c r="H88" s="205"/>
      <c r="I88" s="243"/>
    </row>
    <row r="89" spans="1:15" s="255" customFormat="1" ht="20.100000000000001" customHeight="1">
      <c r="A89" s="205" t="s">
        <v>38</v>
      </c>
      <c r="B89" s="207">
        <v>1073</v>
      </c>
      <c r="C89" s="180">
        <v>0</v>
      </c>
      <c r="D89" s="245">
        <v>0</v>
      </c>
      <c r="E89" s="245"/>
      <c r="F89" s="200">
        <f t="shared" si="9"/>
        <v>0</v>
      </c>
      <c r="G89" s="200">
        <v>0</v>
      </c>
      <c r="H89" s="205"/>
      <c r="I89" s="243"/>
      <c r="J89" s="280"/>
      <c r="K89" s="280"/>
      <c r="L89" s="280"/>
      <c r="M89" s="280"/>
      <c r="N89" s="280"/>
      <c r="O89" s="280"/>
    </row>
    <row r="90" spans="1:15" s="1" customFormat="1" ht="36" customHeight="1">
      <c r="A90" s="205" t="s">
        <v>59</v>
      </c>
      <c r="B90" s="207">
        <v>1074</v>
      </c>
      <c r="C90" s="180">
        <v>0</v>
      </c>
      <c r="D90" s="82">
        <v>0</v>
      </c>
      <c r="E90" s="82"/>
      <c r="F90" s="204">
        <f t="shared" si="9"/>
        <v>0</v>
      </c>
      <c r="G90" s="204">
        <v>0</v>
      </c>
      <c r="H90" s="205"/>
      <c r="I90" s="154"/>
    </row>
    <row r="91" spans="1:15" s="1" customFormat="1" ht="20.100000000000001" customHeight="1">
      <c r="A91" s="205" t="s">
        <v>67</v>
      </c>
      <c r="B91" s="207">
        <v>1075</v>
      </c>
      <c r="C91" s="180">
        <v>0</v>
      </c>
      <c r="D91" s="82">
        <v>0</v>
      </c>
      <c r="E91" s="82"/>
      <c r="F91" s="204">
        <f t="shared" si="9"/>
        <v>0</v>
      </c>
      <c r="G91" s="204">
        <v>0</v>
      </c>
      <c r="H91" s="205"/>
      <c r="I91" s="243"/>
    </row>
    <row r="92" spans="1:15" s="1" customFormat="1" ht="38.25" customHeight="1">
      <c r="A92" s="205" t="s">
        <v>106</v>
      </c>
      <c r="B92" s="207">
        <v>1076</v>
      </c>
      <c r="C92" s="180">
        <v>0</v>
      </c>
      <c r="D92" s="82">
        <v>0</v>
      </c>
      <c r="E92" s="82"/>
      <c r="F92" s="204">
        <f t="shared" si="9"/>
        <v>0</v>
      </c>
      <c r="G92" s="204">
        <v>0</v>
      </c>
      <c r="H92" s="205"/>
      <c r="I92" s="243"/>
    </row>
    <row r="93" spans="1:15" s="1" customFormat="1" ht="37.5">
      <c r="A93" s="212" t="s">
        <v>68</v>
      </c>
      <c r="B93" s="199">
        <v>1080</v>
      </c>
      <c r="C93" s="258">
        <f t="shared" ref="C93:E93" si="20">SUM(C94:C98)</f>
        <v>84061</v>
      </c>
      <c r="D93" s="258">
        <f t="shared" si="20"/>
        <v>2529</v>
      </c>
      <c r="E93" s="258">
        <f t="shared" si="20"/>
        <v>5662</v>
      </c>
      <c r="F93" s="264">
        <f t="shared" si="9"/>
        <v>3133</v>
      </c>
      <c r="G93" s="264">
        <v>0</v>
      </c>
      <c r="H93" s="265"/>
      <c r="I93" s="243"/>
      <c r="J93" s="90"/>
    </row>
    <row r="94" spans="1:15" s="1" customFormat="1" ht="20.100000000000001" customHeight="1">
      <c r="A94" s="205" t="s">
        <v>64</v>
      </c>
      <c r="B94" s="213">
        <v>1081</v>
      </c>
      <c r="C94" s="180">
        <v>0</v>
      </c>
      <c r="D94" s="82">
        <v>0</v>
      </c>
      <c r="E94" s="82"/>
      <c r="F94" s="204">
        <f t="shared" ref="F94:F166" si="21">E94-D94</f>
        <v>0</v>
      </c>
      <c r="G94" s="204">
        <v>0</v>
      </c>
      <c r="H94" s="205"/>
      <c r="I94" s="243"/>
    </row>
    <row r="95" spans="1:15" s="1" customFormat="1" ht="34.5" customHeight="1">
      <c r="A95" s="205" t="s">
        <v>50</v>
      </c>
      <c r="B95" s="213">
        <v>1082</v>
      </c>
      <c r="C95" s="180">
        <v>0</v>
      </c>
      <c r="D95" s="82">
        <v>0</v>
      </c>
      <c r="E95" s="82"/>
      <c r="F95" s="204">
        <f t="shared" si="21"/>
        <v>0</v>
      </c>
      <c r="G95" s="204">
        <v>0</v>
      </c>
      <c r="H95" s="205"/>
      <c r="I95" s="243"/>
    </row>
    <row r="96" spans="1:15" s="1" customFormat="1" ht="37.5">
      <c r="A96" s="205" t="s">
        <v>57</v>
      </c>
      <c r="B96" s="213">
        <v>1083</v>
      </c>
      <c r="C96" s="180">
        <v>0</v>
      </c>
      <c r="D96" s="82">
        <v>0</v>
      </c>
      <c r="E96" s="82"/>
      <c r="F96" s="201">
        <f t="shared" si="21"/>
        <v>0</v>
      </c>
      <c r="G96" s="201">
        <v>0</v>
      </c>
      <c r="H96" s="205"/>
      <c r="I96" s="243"/>
    </row>
    <row r="97" spans="1:10" s="1" customFormat="1" ht="20.100000000000001" customHeight="1">
      <c r="A97" s="205" t="s">
        <v>178</v>
      </c>
      <c r="B97" s="213">
        <v>1084</v>
      </c>
      <c r="C97" s="245">
        <v>80076</v>
      </c>
      <c r="D97" s="82">
        <v>0</v>
      </c>
      <c r="E97" s="82"/>
      <c r="F97" s="204">
        <f t="shared" si="21"/>
        <v>0</v>
      </c>
      <c r="G97" s="204">
        <v>0</v>
      </c>
      <c r="H97" s="205"/>
      <c r="I97" s="243"/>
    </row>
    <row r="98" spans="1:10" s="1" customFormat="1" ht="37.5">
      <c r="A98" s="206" t="s">
        <v>198</v>
      </c>
      <c r="B98" s="213">
        <v>1085</v>
      </c>
      <c r="C98" s="83">
        <f>C99+C100+C101+C102+C104+C106+C108+C110+C111+C112+C113+C114+C115+C116+C118+C119+C122+C123+C125</f>
        <v>3985</v>
      </c>
      <c r="D98" s="290">
        <f>D99+D100+D101+D102+D106+D108+D110+D111+D112+D113+D114+D115+D116+D118+D119+D104</f>
        <v>2529</v>
      </c>
      <c r="E98" s="83">
        <f>E99+E100+E101+E102+E104+E106+E108+E110+E111+E112+E113+E114+E115+E116+E118+E119+E122+E123+E125</f>
        <v>5662</v>
      </c>
      <c r="F98" s="201">
        <f t="shared" si="21"/>
        <v>3133</v>
      </c>
      <c r="G98" s="201">
        <f t="shared" ref="G98:G111" si="22">E98/D98*100</f>
        <v>223.88295769078687</v>
      </c>
      <c r="H98" s="205"/>
      <c r="I98" s="243"/>
    </row>
    <row r="99" spans="1:10" s="1" customFormat="1">
      <c r="A99" s="205" t="s">
        <v>515</v>
      </c>
      <c r="B99" s="179" t="s">
        <v>263</v>
      </c>
      <c r="C99" s="245"/>
      <c r="D99" s="245">
        <v>0</v>
      </c>
      <c r="E99" s="82">
        <v>485</v>
      </c>
      <c r="F99" s="204">
        <f t="shared" si="21"/>
        <v>485</v>
      </c>
      <c r="G99" s="204">
        <v>0</v>
      </c>
      <c r="H99" s="205"/>
      <c r="I99" s="243"/>
    </row>
    <row r="100" spans="1:10" s="1" customFormat="1" ht="61.5" customHeight="1">
      <c r="A100" s="205" t="s">
        <v>562</v>
      </c>
      <c r="B100" s="179" t="s">
        <v>264</v>
      </c>
      <c r="C100" s="245">
        <f>200+21-170</f>
        <v>51</v>
      </c>
      <c r="D100" s="245">
        <v>0</v>
      </c>
      <c r="E100" s="82">
        <f>-81+671</f>
        <v>590</v>
      </c>
      <c r="F100" s="204">
        <f t="shared" si="21"/>
        <v>590</v>
      </c>
      <c r="G100" s="204">
        <v>0</v>
      </c>
      <c r="H100" s="205"/>
      <c r="I100" s="243"/>
    </row>
    <row r="101" spans="1:10" s="1" customFormat="1" ht="39.75" customHeight="1">
      <c r="A101" s="205" t="s">
        <v>451</v>
      </c>
      <c r="B101" s="179" t="s">
        <v>265</v>
      </c>
      <c r="C101" s="245">
        <v>201</v>
      </c>
      <c r="D101" s="245">
        <v>0</v>
      </c>
      <c r="E101" s="82">
        <v>1</v>
      </c>
      <c r="F101" s="204">
        <f t="shared" si="21"/>
        <v>1</v>
      </c>
      <c r="G101" s="204" t="e">
        <f t="shared" si="22"/>
        <v>#DIV/0!</v>
      </c>
      <c r="H101" s="205"/>
      <c r="I101" s="243"/>
    </row>
    <row r="102" spans="1:10" s="1" customFormat="1" ht="40.5" customHeight="1">
      <c r="A102" s="205" t="s">
        <v>312</v>
      </c>
      <c r="B102" s="179" t="s">
        <v>300</v>
      </c>
      <c r="C102" s="245">
        <v>878</v>
      </c>
      <c r="D102" s="246">
        <v>720</v>
      </c>
      <c r="E102" s="245">
        <v>882</v>
      </c>
      <c r="F102" s="204">
        <f t="shared" si="21"/>
        <v>162</v>
      </c>
      <c r="G102" s="204">
        <f t="shared" si="22"/>
        <v>122.50000000000001</v>
      </c>
      <c r="H102" s="205"/>
      <c r="I102" s="243"/>
    </row>
    <row r="103" spans="1:10" s="1" customFormat="1" ht="40.5" customHeight="1">
      <c r="A103" s="205" t="s">
        <v>557</v>
      </c>
      <c r="B103" s="179" t="s">
        <v>558</v>
      </c>
      <c r="D103" s="246">
        <v>0</v>
      </c>
      <c r="E103" s="245"/>
      <c r="F103" s="204"/>
      <c r="G103" s="204"/>
      <c r="H103" s="205"/>
      <c r="I103" s="243"/>
    </row>
    <row r="104" spans="1:10" s="1" customFormat="1" ht="69" customHeight="1">
      <c r="A104" s="205" t="s">
        <v>378</v>
      </c>
      <c r="B104" s="179" t="s">
        <v>301</v>
      </c>
      <c r="C104" s="245">
        <v>50</v>
      </c>
      <c r="D104" s="246">
        <v>0</v>
      </c>
      <c r="E104" s="82">
        <f>7-1</f>
        <v>6</v>
      </c>
      <c r="F104" s="204">
        <f t="shared" si="21"/>
        <v>6</v>
      </c>
      <c r="G104" s="204" t="e">
        <f t="shared" si="22"/>
        <v>#DIV/0!</v>
      </c>
      <c r="H104" s="205"/>
      <c r="I104" s="243"/>
      <c r="J104" s="90"/>
    </row>
    <row r="105" spans="1:10" s="1" customFormat="1" ht="69" customHeight="1">
      <c r="A105" s="205" t="s">
        <v>557</v>
      </c>
      <c r="B105" s="179" t="s">
        <v>590</v>
      </c>
      <c r="C105" s="245">
        <v>9</v>
      </c>
      <c r="D105" s="246"/>
      <c r="E105" s="245">
        <f>1+1</f>
        <v>2</v>
      </c>
      <c r="F105" s="204"/>
      <c r="G105" s="204" t="e">
        <f t="shared" si="22"/>
        <v>#DIV/0!</v>
      </c>
      <c r="H105" s="205"/>
      <c r="I105" s="243"/>
      <c r="J105" s="90"/>
    </row>
    <row r="106" spans="1:10" s="1" customFormat="1" ht="37.5" customHeight="1">
      <c r="A106" s="287" t="s">
        <v>532</v>
      </c>
      <c r="B106" s="179" t="s">
        <v>302</v>
      </c>
      <c r="C106" s="245">
        <v>42</v>
      </c>
      <c r="D106" s="245">
        <v>0</v>
      </c>
      <c r="E106" s="82">
        <v>39</v>
      </c>
      <c r="F106" s="204">
        <f t="shared" si="21"/>
        <v>39</v>
      </c>
      <c r="G106" s="204" t="e">
        <f t="shared" si="22"/>
        <v>#DIV/0!</v>
      </c>
      <c r="H106" s="205"/>
      <c r="I106" s="243"/>
      <c r="J106" s="90"/>
    </row>
    <row r="107" spans="1:10" s="1" customFormat="1" ht="37.5" customHeight="1">
      <c r="A107" s="287" t="s">
        <v>533</v>
      </c>
      <c r="B107" s="179" t="s">
        <v>485</v>
      </c>
      <c r="C107" s="245">
        <v>7</v>
      </c>
      <c r="D107" s="245">
        <v>0</v>
      </c>
      <c r="E107" s="82">
        <v>0</v>
      </c>
      <c r="F107" s="204">
        <f t="shared" si="21"/>
        <v>0</v>
      </c>
      <c r="G107" s="204" t="e">
        <f t="shared" si="22"/>
        <v>#DIV/0!</v>
      </c>
      <c r="H107" s="205"/>
      <c r="I107" s="243"/>
    </row>
    <row r="108" spans="1:10" s="1" customFormat="1" ht="51.75" customHeight="1">
      <c r="A108" s="205" t="s">
        <v>313</v>
      </c>
      <c r="B108" s="179" t="s">
        <v>303</v>
      </c>
      <c r="C108" s="245"/>
      <c r="D108" s="246">
        <v>60</v>
      </c>
      <c r="E108" s="82"/>
      <c r="F108" s="204">
        <f t="shared" si="21"/>
        <v>-60</v>
      </c>
      <c r="G108" s="204">
        <f t="shared" si="22"/>
        <v>0</v>
      </c>
      <c r="H108" s="205"/>
      <c r="I108" s="243"/>
    </row>
    <row r="109" spans="1:10" s="1" customFormat="1" ht="46.5" customHeight="1">
      <c r="A109" s="205" t="s">
        <v>334</v>
      </c>
      <c r="B109" s="179" t="s">
        <v>379</v>
      </c>
      <c r="D109" s="246">
        <v>0</v>
      </c>
      <c r="E109" s="82"/>
      <c r="F109" s="204">
        <f t="shared" si="21"/>
        <v>0</v>
      </c>
      <c r="G109" s="204" t="e">
        <f t="shared" si="22"/>
        <v>#DIV/0!</v>
      </c>
      <c r="H109" s="205"/>
      <c r="I109" s="243"/>
    </row>
    <row r="110" spans="1:10" s="1" customFormat="1" ht="36" customHeight="1">
      <c r="A110" s="205" t="s">
        <v>314</v>
      </c>
      <c r="B110" s="179" t="s">
        <v>304</v>
      </c>
      <c r="C110" s="245">
        <v>260</v>
      </c>
      <c r="D110" s="246">
        <v>265</v>
      </c>
      <c r="E110" s="82">
        <v>306</v>
      </c>
      <c r="F110" s="204">
        <f t="shared" si="21"/>
        <v>41</v>
      </c>
      <c r="G110" s="204">
        <f t="shared" si="22"/>
        <v>115.47169811320754</v>
      </c>
      <c r="H110" s="205"/>
      <c r="I110" s="243"/>
      <c r="J110" s="90"/>
    </row>
    <row r="111" spans="1:10" s="1" customFormat="1" ht="44.25" customHeight="1">
      <c r="A111" s="205" t="s">
        <v>315</v>
      </c>
      <c r="B111" s="179" t="s">
        <v>305</v>
      </c>
      <c r="C111" s="245"/>
      <c r="D111" s="246">
        <v>2</v>
      </c>
      <c r="E111" s="82"/>
      <c r="F111" s="204">
        <f t="shared" si="21"/>
        <v>-2</v>
      </c>
      <c r="G111" s="204">
        <f t="shared" si="22"/>
        <v>0</v>
      </c>
      <c r="H111" s="205"/>
      <c r="I111" s="243"/>
    </row>
    <row r="112" spans="1:10" s="1" customFormat="1" ht="44.25" customHeight="1">
      <c r="A112" s="205" t="s">
        <v>316</v>
      </c>
      <c r="B112" s="179" t="s">
        <v>306</v>
      </c>
      <c r="C112" s="245"/>
      <c r="D112" s="246">
        <v>2</v>
      </c>
      <c r="E112" s="245">
        <f>4+3</f>
        <v>7</v>
      </c>
      <c r="F112" s="204">
        <f t="shared" si="21"/>
        <v>5</v>
      </c>
      <c r="G112" s="204">
        <v>4</v>
      </c>
      <c r="H112" s="205"/>
      <c r="I112" s="243"/>
    </row>
    <row r="113" spans="1:16" s="1" customFormat="1" ht="36.75" customHeight="1">
      <c r="A113" s="205" t="s">
        <v>317</v>
      </c>
      <c r="B113" s="179" t="s">
        <v>307</v>
      </c>
      <c r="C113" s="245"/>
      <c r="D113" s="246">
        <v>0</v>
      </c>
      <c r="E113" s="82"/>
      <c r="F113" s="201">
        <f t="shared" si="21"/>
        <v>0</v>
      </c>
      <c r="G113" s="201">
        <v>0</v>
      </c>
      <c r="H113" s="205"/>
      <c r="I113" s="243"/>
    </row>
    <row r="114" spans="1:16" s="1" customFormat="1" ht="44.25" customHeight="1">
      <c r="A114" s="205" t="s">
        <v>318</v>
      </c>
      <c r="B114" s="179" t="s">
        <v>308</v>
      </c>
      <c r="D114" s="246">
        <v>0</v>
      </c>
      <c r="E114" s="82"/>
      <c r="F114" s="201">
        <f t="shared" si="21"/>
        <v>0</v>
      </c>
      <c r="G114" s="201" t="e">
        <f t="shared" ref="G114:G126" si="23">E114/D114*100</f>
        <v>#DIV/0!</v>
      </c>
      <c r="H114" s="205"/>
      <c r="I114" s="243"/>
    </row>
    <row r="115" spans="1:16" s="1" customFormat="1" ht="42" customHeight="1">
      <c r="A115" s="205" t="s">
        <v>502</v>
      </c>
      <c r="B115" s="179" t="s">
        <v>309</v>
      </c>
      <c r="C115" s="245">
        <v>703</v>
      </c>
      <c r="D115" s="246">
        <v>702</v>
      </c>
      <c r="E115" s="82">
        <v>994</v>
      </c>
      <c r="F115" s="204">
        <f t="shared" si="21"/>
        <v>292</v>
      </c>
      <c r="G115" s="204">
        <f t="shared" si="23"/>
        <v>141.5954415954416</v>
      </c>
      <c r="H115" s="205"/>
      <c r="I115" s="243"/>
    </row>
    <row r="116" spans="1:16" s="1" customFormat="1" ht="44.25" customHeight="1">
      <c r="A116" s="205" t="s">
        <v>319</v>
      </c>
      <c r="B116" s="179" t="s">
        <v>310</v>
      </c>
      <c r="C116" s="245">
        <v>592</v>
      </c>
      <c r="D116" s="246">
        <v>0</v>
      </c>
      <c r="E116" s="82">
        <f>945+1</f>
        <v>946</v>
      </c>
      <c r="F116" s="204">
        <f t="shared" si="21"/>
        <v>946</v>
      </c>
      <c r="G116" s="204" t="e">
        <f t="shared" si="23"/>
        <v>#DIV/0!</v>
      </c>
      <c r="H116" s="205" t="s">
        <v>368</v>
      </c>
      <c r="I116" s="243"/>
    </row>
    <row r="117" spans="1:16" s="1" customFormat="1" ht="41.25" customHeight="1">
      <c r="A117" s="205" t="s">
        <v>360</v>
      </c>
      <c r="B117" s="179" t="s">
        <v>380</v>
      </c>
      <c r="C117" s="245">
        <v>110</v>
      </c>
      <c r="D117" s="246">
        <v>0</v>
      </c>
      <c r="E117" s="82">
        <f>150+2</f>
        <v>152</v>
      </c>
      <c r="F117" s="204">
        <f t="shared" si="21"/>
        <v>152</v>
      </c>
      <c r="G117" s="204" t="e">
        <f t="shared" si="23"/>
        <v>#DIV/0!</v>
      </c>
      <c r="H117" s="205"/>
      <c r="I117" s="243"/>
    </row>
    <row r="118" spans="1:16" s="1" customFormat="1" ht="44.25" customHeight="1">
      <c r="A118" s="202" t="s">
        <v>320</v>
      </c>
      <c r="B118" s="214" t="s">
        <v>311</v>
      </c>
      <c r="C118" s="245">
        <f>13+1+3+12</f>
        <v>29</v>
      </c>
      <c r="D118" s="246">
        <v>0</v>
      </c>
      <c r="E118" s="82">
        <f>3+3+3+89+3</f>
        <v>101</v>
      </c>
      <c r="F118" s="204">
        <f t="shared" si="21"/>
        <v>101</v>
      </c>
      <c r="G118" s="204" t="e">
        <f t="shared" si="23"/>
        <v>#DIV/0!</v>
      </c>
      <c r="H118" s="205"/>
      <c r="I118" s="355"/>
      <c r="J118" s="356"/>
      <c r="K118" s="356"/>
      <c r="L118" s="356"/>
      <c r="M118" s="356"/>
      <c r="P118" s="243"/>
    </row>
    <row r="119" spans="1:16" s="1" customFormat="1" ht="54" customHeight="1">
      <c r="A119" s="205" t="s">
        <v>321</v>
      </c>
      <c r="B119" s="179" t="s">
        <v>381</v>
      </c>
      <c r="C119" s="245">
        <v>988</v>
      </c>
      <c r="D119" s="246">
        <v>778</v>
      </c>
      <c r="E119" s="82">
        <v>918</v>
      </c>
      <c r="F119" s="204">
        <f t="shared" si="21"/>
        <v>140</v>
      </c>
      <c r="G119" s="204">
        <f t="shared" si="23"/>
        <v>117.99485861182519</v>
      </c>
      <c r="H119" s="205" t="s">
        <v>368</v>
      </c>
      <c r="I119" s="243"/>
    </row>
    <row r="120" spans="1:16" s="1" customFormat="1" ht="40.5" customHeight="1">
      <c r="A120" s="205" t="s">
        <v>481</v>
      </c>
      <c r="B120" s="179" t="s">
        <v>483</v>
      </c>
      <c r="C120" s="245">
        <f>810+19</f>
        <v>829</v>
      </c>
      <c r="D120" s="246">
        <v>638</v>
      </c>
      <c r="E120" s="82">
        <f>765-1</f>
        <v>764</v>
      </c>
      <c r="F120" s="204">
        <f t="shared" si="21"/>
        <v>126</v>
      </c>
      <c r="G120" s="204">
        <f t="shared" si="23"/>
        <v>119.74921630094045</v>
      </c>
      <c r="H120" s="202"/>
      <c r="I120" s="243"/>
    </row>
    <row r="121" spans="1:16" s="1" customFormat="1" ht="40.5" customHeight="1">
      <c r="A121" s="205" t="s">
        <v>482</v>
      </c>
      <c r="B121" s="179" t="s">
        <v>484</v>
      </c>
      <c r="C121" s="245">
        <f>178-19</f>
        <v>159</v>
      </c>
      <c r="D121" s="246">
        <v>140</v>
      </c>
      <c r="E121" s="82">
        <f>153+1</f>
        <v>154</v>
      </c>
      <c r="F121" s="204">
        <f t="shared" si="21"/>
        <v>14</v>
      </c>
      <c r="G121" s="204">
        <f t="shared" si="23"/>
        <v>110.00000000000001</v>
      </c>
      <c r="H121" s="202"/>
      <c r="I121" s="243"/>
    </row>
    <row r="122" spans="1:16" s="1" customFormat="1" ht="40.5" customHeight="1">
      <c r="A122" s="287" t="s">
        <v>534</v>
      </c>
      <c r="B122" s="288" t="s">
        <v>535</v>
      </c>
      <c r="C122" s="245">
        <v>171</v>
      </c>
      <c r="D122" s="246">
        <v>0</v>
      </c>
      <c r="E122" s="245">
        <v>334</v>
      </c>
      <c r="F122" s="204">
        <f t="shared" si="21"/>
        <v>334</v>
      </c>
      <c r="G122" s="204" t="e">
        <f t="shared" si="23"/>
        <v>#DIV/0!</v>
      </c>
      <c r="H122" s="202"/>
      <c r="I122" s="243"/>
    </row>
    <row r="123" spans="1:16" s="1" customFormat="1" ht="40.5" customHeight="1">
      <c r="A123" s="287" t="s">
        <v>536</v>
      </c>
      <c r="B123" s="288" t="s">
        <v>537</v>
      </c>
      <c r="C123" s="245">
        <v>20</v>
      </c>
      <c r="D123" s="246">
        <v>0</v>
      </c>
      <c r="E123" s="245">
        <f>34</f>
        <v>34</v>
      </c>
      <c r="F123" s="204">
        <f t="shared" si="21"/>
        <v>34</v>
      </c>
      <c r="G123" s="204" t="e">
        <f t="shared" si="23"/>
        <v>#DIV/0!</v>
      </c>
      <c r="H123" s="202"/>
      <c r="I123" s="243"/>
    </row>
    <row r="124" spans="1:16" s="1" customFormat="1" ht="40.5" customHeight="1">
      <c r="A124" s="287" t="s">
        <v>538</v>
      </c>
      <c r="B124" s="288" t="s">
        <v>539</v>
      </c>
      <c r="C124" s="245">
        <v>3</v>
      </c>
      <c r="D124" s="246">
        <v>0</v>
      </c>
      <c r="E124" s="245">
        <f>7+1</f>
        <v>8</v>
      </c>
      <c r="F124" s="204">
        <f t="shared" si="21"/>
        <v>8</v>
      </c>
      <c r="G124" s="204" t="e">
        <f t="shared" si="23"/>
        <v>#DIV/0!</v>
      </c>
      <c r="H124" s="202"/>
      <c r="I124" s="243"/>
    </row>
    <row r="125" spans="1:16" s="1" customFormat="1" ht="40.5" customHeight="1">
      <c r="A125" s="297" t="s">
        <v>559</v>
      </c>
      <c r="B125" s="298" t="s">
        <v>560</v>
      </c>
      <c r="C125" s="180"/>
      <c r="D125" s="246">
        <v>0</v>
      </c>
      <c r="E125" s="245">
        <v>19</v>
      </c>
      <c r="F125" s="204">
        <f t="shared" si="21"/>
        <v>19</v>
      </c>
      <c r="G125" s="204" t="e">
        <f t="shared" si="23"/>
        <v>#DIV/0!</v>
      </c>
      <c r="H125" s="202"/>
      <c r="I125" s="243"/>
    </row>
    <row r="126" spans="1:16" s="1" customFormat="1" ht="40.5" customHeight="1">
      <c r="A126" s="297" t="s">
        <v>557</v>
      </c>
      <c r="B126" s="298" t="s">
        <v>561</v>
      </c>
      <c r="C126" s="180">
        <v>0</v>
      </c>
      <c r="D126" s="246">
        <v>0</v>
      </c>
      <c r="E126" s="245">
        <v>2</v>
      </c>
      <c r="F126" s="204">
        <f t="shared" si="21"/>
        <v>2</v>
      </c>
      <c r="G126" s="204" t="e">
        <f t="shared" si="23"/>
        <v>#DIV/0!</v>
      </c>
      <c r="H126" s="202"/>
      <c r="I126" s="243"/>
    </row>
    <row r="127" spans="1:16" s="1" customFormat="1" ht="35.25" customHeight="1">
      <c r="A127" s="198" t="s">
        <v>4</v>
      </c>
      <c r="B127" s="199">
        <v>1100</v>
      </c>
      <c r="C127" s="262">
        <f>C21+C22-C39-C93</f>
        <v>-23282</v>
      </c>
      <c r="D127" s="258">
        <f>D21+D22-D39-D86-D93</f>
        <v>90</v>
      </c>
      <c r="E127" s="258">
        <f>E21+E22-E39-E86-E93</f>
        <v>-4175</v>
      </c>
      <c r="F127" s="264">
        <f t="shared" si="21"/>
        <v>-4265</v>
      </c>
      <c r="G127" s="264">
        <f t="shared" ref="G127:G139" si="24">E127/D127*100</f>
        <v>-4638.8888888888887</v>
      </c>
      <c r="H127" s="263"/>
      <c r="I127" s="156"/>
    </row>
    <row r="128" spans="1:16" s="1" customFormat="1" ht="45" customHeight="1">
      <c r="A128" s="205" t="s">
        <v>90</v>
      </c>
      <c r="B128" s="207">
        <v>1110</v>
      </c>
      <c r="C128" s="180">
        <v>0</v>
      </c>
      <c r="D128" s="82">
        <v>0</v>
      </c>
      <c r="E128" s="82"/>
      <c r="F128" s="201">
        <f t="shared" si="21"/>
        <v>0</v>
      </c>
      <c r="G128" s="201">
        <v>0</v>
      </c>
      <c r="H128" s="205"/>
      <c r="I128" s="243"/>
    </row>
    <row r="129" spans="1:15" s="1" customFormat="1" ht="45.75" customHeight="1">
      <c r="A129" s="205" t="s">
        <v>91</v>
      </c>
      <c r="B129" s="207">
        <v>1120</v>
      </c>
      <c r="C129" s="180"/>
      <c r="D129" s="82">
        <v>0</v>
      </c>
      <c r="E129" s="82"/>
      <c r="F129" s="204">
        <f t="shared" si="21"/>
        <v>0</v>
      </c>
      <c r="G129" s="204">
        <v>0</v>
      </c>
      <c r="H129" s="205"/>
      <c r="I129" s="243"/>
    </row>
    <row r="130" spans="1:15" s="3" customFormat="1" ht="37.5">
      <c r="A130" s="205" t="s">
        <v>94</v>
      </c>
      <c r="B130" s="207">
        <v>1130</v>
      </c>
      <c r="C130" s="180">
        <v>0</v>
      </c>
      <c r="D130" s="82">
        <v>0</v>
      </c>
      <c r="E130" s="82"/>
      <c r="F130" s="201">
        <f t="shared" si="21"/>
        <v>0</v>
      </c>
      <c r="G130" s="201">
        <v>0</v>
      </c>
      <c r="H130" s="205"/>
      <c r="I130" s="243"/>
      <c r="J130" s="322"/>
      <c r="K130" s="322"/>
      <c r="L130" s="322"/>
      <c r="M130" s="322"/>
      <c r="N130" s="322"/>
      <c r="O130" s="322"/>
    </row>
    <row r="131" spans="1:15">
      <c r="A131" s="205" t="s">
        <v>93</v>
      </c>
      <c r="B131" s="207">
        <v>1140</v>
      </c>
      <c r="C131" s="180">
        <v>0</v>
      </c>
      <c r="D131" s="82">
        <v>0</v>
      </c>
      <c r="E131" s="82"/>
      <c r="F131" s="204">
        <f t="shared" si="21"/>
        <v>0</v>
      </c>
      <c r="G131" s="204">
        <v>0</v>
      </c>
      <c r="H131" s="205"/>
      <c r="I131" s="154"/>
    </row>
    <row r="132" spans="1:15" ht="35.25" customHeight="1">
      <c r="A132" s="198" t="s">
        <v>179</v>
      </c>
      <c r="B132" s="199">
        <v>1150</v>
      </c>
      <c r="C132" s="262">
        <f>C133</f>
        <v>0</v>
      </c>
      <c r="D132" s="259">
        <f t="shared" ref="D132" si="25">D133+D134</f>
        <v>0</v>
      </c>
      <c r="E132" s="259">
        <f t="shared" ref="E132" si="26">E133+E134</f>
        <v>0</v>
      </c>
      <c r="F132" s="264">
        <f t="shared" si="21"/>
        <v>0</v>
      </c>
      <c r="G132" s="264" t="e">
        <f t="shared" si="24"/>
        <v>#DIV/0!</v>
      </c>
      <c r="H132" s="265"/>
      <c r="I132" s="154"/>
    </row>
    <row r="133" spans="1:15" ht="37.5">
      <c r="A133" s="205" t="s">
        <v>323</v>
      </c>
      <c r="B133" s="86" t="s">
        <v>322</v>
      </c>
      <c r="C133" s="180">
        <v>0</v>
      </c>
      <c r="D133" s="245">
        <v>0</v>
      </c>
      <c r="E133" s="82"/>
      <c r="F133" s="204">
        <f t="shared" si="21"/>
        <v>0</v>
      </c>
      <c r="G133" s="204" t="e">
        <f t="shared" si="24"/>
        <v>#DIV/0!</v>
      </c>
      <c r="H133" s="205"/>
      <c r="I133" s="154"/>
    </row>
    <row r="134" spans="1:15" ht="36.75" customHeight="1">
      <c r="A134" s="205" t="s">
        <v>178</v>
      </c>
      <c r="B134" s="207">
        <v>1151</v>
      </c>
      <c r="C134" s="180">
        <v>0</v>
      </c>
      <c r="D134" s="82">
        <v>0</v>
      </c>
      <c r="E134" s="82"/>
      <c r="F134" s="204">
        <f t="shared" si="21"/>
        <v>0</v>
      </c>
      <c r="G134" s="204">
        <v>0</v>
      </c>
      <c r="H134" s="205"/>
      <c r="I134" s="154"/>
    </row>
    <row r="135" spans="1:15" ht="37.5">
      <c r="A135" s="206" t="s">
        <v>180</v>
      </c>
      <c r="B135" s="211">
        <v>1160</v>
      </c>
      <c r="C135" s="83">
        <f>C136</f>
        <v>0</v>
      </c>
      <c r="D135" s="83">
        <v>0</v>
      </c>
      <c r="E135" s="83">
        <f>E136</f>
        <v>0</v>
      </c>
      <c r="F135" s="204">
        <f t="shared" si="21"/>
        <v>0</v>
      </c>
      <c r="G135" s="204">
        <v>0</v>
      </c>
      <c r="H135" s="205"/>
      <c r="I135" s="154"/>
    </row>
    <row r="136" spans="1:15">
      <c r="A136" s="205" t="s">
        <v>324</v>
      </c>
      <c r="B136" s="86" t="s">
        <v>258</v>
      </c>
      <c r="C136" s="180">
        <v>0</v>
      </c>
      <c r="D136" s="82">
        <v>0</v>
      </c>
      <c r="E136" s="82"/>
      <c r="F136" s="204">
        <f t="shared" si="21"/>
        <v>0</v>
      </c>
      <c r="G136" s="204">
        <v>0</v>
      </c>
      <c r="H136" s="205"/>
      <c r="I136" s="154"/>
    </row>
    <row r="137" spans="1:15" ht="36.75" customHeight="1">
      <c r="A137" s="205" t="s">
        <v>178</v>
      </c>
      <c r="B137" s="207">
        <v>1161</v>
      </c>
      <c r="C137" s="200">
        <v>0</v>
      </c>
      <c r="D137" s="82">
        <v>0</v>
      </c>
      <c r="E137" s="82"/>
      <c r="F137" s="204">
        <f t="shared" si="21"/>
        <v>0</v>
      </c>
      <c r="G137" s="204">
        <v>0</v>
      </c>
      <c r="H137" s="205"/>
      <c r="I137" s="154"/>
    </row>
    <row r="138" spans="1:15" ht="37.5">
      <c r="A138" s="198" t="s">
        <v>80</v>
      </c>
      <c r="B138" s="199">
        <v>1170</v>
      </c>
      <c r="C138" s="258">
        <f t="shared" ref="C138:E138" si="27">C127+C128+C129+C132-C131-C130-C135</f>
        <v>-23282</v>
      </c>
      <c r="D138" s="258">
        <f t="shared" ref="D138" si="28">D127+D128+D129+D132-D131-D130-D135</f>
        <v>90</v>
      </c>
      <c r="E138" s="258">
        <f t="shared" si="27"/>
        <v>-4175</v>
      </c>
      <c r="F138" s="264">
        <f t="shared" si="21"/>
        <v>-4265</v>
      </c>
      <c r="G138" s="264">
        <f t="shared" si="24"/>
        <v>-4638.8888888888887</v>
      </c>
      <c r="H138" s="265"/>
      <c r="I138" s="156"/>
    </row>
    <row r="139" spans="1:15">
      <c r="A139" s="205" t="s">
        <v>111</v>
      </c>
      <c r="B139" s="207">
        <v>1180</v>
      </c>
      <c r="C139" s="180">
        <v>0</v>
      </c>
      <c r="D139" s="82">
        <f>ROUND(D138*18%,0)</f>
        <v>16</v>
      </c>
      <c r="E139" s="82"/>
      <c r="F139" s="204">
        <f t="shared" si="21"/>
        <v>-16</v>
      </c>
      <c r="G139" s="204">
        <f t="shared" si="24"/>
        <v>0</v>
      </c>
      <c r="H139" s="205"/>
      <c r="I139" s="154"/>
    </row>
    <row r="140" spans="1:15" ht="34.5" customHeight="1">
      <c r="A140" s="205" t="s">
        <v>112</v>
      </c>
      <c r="B140" s="207">
        <v>1190</v>
      </c>
      <c r="C140" s="180">
        <v>0</v>
      </c>
      <c r="D140" s="82">
        <v>0</v>
      </c>
      <c r="E140" s="82"/>
      <c r="F140" s="204">
        <f t="shared" si="21"/>
        <v>0</v>
      </c>
      <c r="G140" s="204">
        <v>0</v>
      </c>
      <c r="H140" s="205"/>
      <c r="I140" s="154"/>
    </row>
    <row r="141" spans="1:15" s="3" customFormat="1" ht="37.5">
      <c r="A141" s="198" t="s">
        <v>81</v>
      </c>
      <c r="B141" s="199">
        <v>1200</v>
      </c>
      <c r="C141" s="262">
        <f>C138</f>
        <v>-23282</v>
      </c>
      <c r="D141" s="258">
        <f t="shared" ref="D141:E141" si="29">D138-D139-D140</f>
        <v>74</v>
      </c>
      <c r="E141" s="258">
        <f t="shared" si="29"/>
        <v>-4175</v>
      </c>
      <c r="F141" s="264">
        <f t="shared" si="21"/>
        <v>-4249</v>
      </c>
      <c r="G141" s="264">
        <v>5</v>
      </c>
      <c r="H141" s="263"/>
      <c r="I141" s="156"/>
      <c r="J141" s="322"/>
      <c r="K141" s="322"/>
      <c r="L141" s="322"/>
      <c r="M141" s="322"/>
      <c r="N141" s="322"/>
      <c r="O141" s="322"/>
    </row>
    <row r="142" spans="1:15" ht="40.5" customHeight="1">
      <c r="A142" s="205" t="s">
        <v>24</v>
      </c>
      <c r="B142" s="86">
        <v>1201</v>
      </c>
      <c r="C142" s="302">
        <f t="shared" ref="C142:E142" si="30">SUMIF(C141,"&gt;0")</f>
        <v>0</v>
      </c>
      <c r="D142" s="85">
        <f t="shared" si="30"/>
        <v>74</v>
      </c>
      <c r="E142" s="302">
        <f t="shared" si="30"/>
        <v>0</v>
      </c>
      <c r="F142" s="201">
        <f t="shared" si="21"/>
        <v>-74</v>
      </c>
      <c r="G142" s="201">
        <f t="shared" ref="G142" si="31">E142/D142*100</f>
        <v>0</v>
      </c>
      <c r="H142" s="205"/>
      <c r="I142" s="154"/>
    </row>
    <row r="143" spans="1:15">
      <c r="A143" s="205" t="s">
        <v>25</v>
      </c>
      <c r="B143" s="86">
        <v>1202</v>
      </c>
      <c r="C143" s="302">
        <f t="shared" ref="C143:E143" si="32">SUMIF(C141,"&lt;0")</f>
        <v>-23282</v>
      </c>
      <c r="D143" s="85">
        <f t="shared" si="32"/>
        <v>0</v>
      </c>
      <c r="E143" s="302">
        <f t="shared" si="32"/>
        <v>-4175</v>
      </c>
      <c r="F143" s="201">
        <f t="shared" si="21"/>
        <v>-4175</v>
      </c>
      <c r="G143" s="201">
        <v>0</v>
      </c>
      <c r="H143" s="205"/>
      <c r="I143" s="154"/>
    </row>
    <row r="144" spans="1:15" s="3" customFormat="1">
      <c r="A144" s="205" t="s">
        <v>199</v>
      </c>
      <c r="B144" s="207">
        <v>1210</v>
      </c>
      <c r="C144" s="215">
        <v>0</v>
      </c>
      <c r="D144" s="82">
        <v>0</v>
      </c>
      <c r="E144" s="82"/>
      <c r="F144" s="204">
        <f t="shared" si="21"/>
        <v>0</v>
      </c>
      <c r="G144" s="204">
        <v>0</v>
      </c>
      <c r="H144" s="205"/>
      <c r="I144" s="154"/>
      <c r="J144" s="322"/>
      <c r="K144" s="322"/>
      <c r="L144" s="322"/>
      <c r="M144" s="322"/>
      <c r="N144" s="322"/>
      <c r="O144" s="322"/>
    </row>
    <row r="145" spans="1:16" ht="39" customHeight="1">
      <c r="A145" s="216" t="s">
        <v>221</v>
      </c>
      <c r="B145" s="217"/>
      <c r="C145" s="217"/>
      <c r="D145" s="217"/>
      <c r="E145" s="217"/>
      <c r="F145" s="204"/>
      <c r="G145" s="204"/>
      <c r="H145" s="218"/>
      <c r="I145" s="154"/>
    </row>
    <row r="146" spans="1:16" ht="46.5" customHeight="1">
      <c r="A146" s="219" t="s">
        <v>214</v>
      </c>
      <c r="B146" s="86">
        <v>1300</v>
      </c>
      <c r="C146" s="266">
        <f>C22-C93</f>
        <v>94813</v>
      </c>
      <c r="D146" s="260">
        <f>D22-D93</f>
        <v>179063</v>
      </c>
      <c r="E146" s="260">
        <f>E22-E93</f>
        <v>141795</v>
      </c>
      <c r="F146" s="264">
        <f t="shared" si="21"/>
        <v>-37268</v>
      </c>
      <c r="G146" s="264">
        <v>0</v>
      </c>
      <c r="H146" s="265"/>
      <c r="I146" s="154"/>
    </row>
    <row r="147" spans="1:16" ht="58.5" customHeight="1">
      <c r="A147" s="205" t="s">
        <v>208</v>
      </c>
      <c r="B147" s="86">
        <v>1310</v>
      </c>
      <c r="C147" s="264">
        <v>0</v>
      </c>
      <c r="D147" s="260">
        <f t="shared" ref="D147:E147" si="33">D128+D129-D130-D131</f>
        <v>0</v>
      </c>
      <c r="E147" s="260">
        <f t="shared" si="33"/>
        <v>0</v>
      </c>
      <c r="F147" s="264">
        <f t="shared" si="21"/>
        <v>0</v>
      </c>
      <c r="G147" s="264">
        <v>0</v>
      </c>
      <c r="H147" s="265"/>
      <c r="I147" s="154"/>
    </row>
    <row r="148" spans="1:16" s="3" customFormat="1" ht="33" customHeight="1">
      <c r="A148" s="219" t="s">
        <v>209</v>
      </c>
      <c r="B148" s="86">
        <v>1320</v>
      </c>
      <c r="C148" s="260">
        <f>C132+C135</f>
        <v>0</v>
      </c>
      <c r="D148" s="260">
        <f t="shared" ref="D148" si="34">D132-D135</f>
        <v>0</v>
      </c>
      <c r="E148" s="260">
        <f>E132+E135</f>
        <v>0</v>
      </c>
      <c r="F148" s="264">
        <f t="shared" si="21"/>
        <v>0</v>
      </c>
      <c r="G148" s="264">
        <v>0</v>
      </c>
      <c r="H148" s="265"/>
      <c r="I148" s="154"/>
      <c r="J148" s="322"/>
      <c r="K148" s="322"/>
      <c r="L148" s="322"/>
      <c r="M148" s="322"/>
      <c r="N148" s="322"/>
      <c r="O148" s="322"/>
    </row>
    <row r="149" spans="1:16" ht="42.75" customHeight="1">
      <c r="A149" s="220" t="s">
        <v>247</v>
      </c>
      <c r="B149" s="207">
        <v>1330</v>
      </c>
      <c r="C149" s="260">
        <f>C7+C22+C128+C129+C132</f>
        <v>190180</v>
      </c>
      <c r="D149" s="260">
        <f>D7+D22+D128+D129+D132</f>
        <v>196101</v>
      </c>
      <c r="E149" s="260">
        <f>E7+E22+E128+E129+E132</f>
        <v>163260</v>
      </c>
      <c r="F149" s="264">
        <f t="shared" si="21"/>
        <v>-32841</v>
      </c>
      <c r="G149" s="264">
        <f t="shared" ref="G149:G162" si="35">E149/D149*100</f>
        <v>83.253017577676815</v>
      </c>
      <c r="H149" s="265"/>
      <c r="I149" s="154"/>
    </row>
    <row r="150" spans="1:16" ht="54" customHeight="1">
      <c r="A150" s="220" t="s">
        <v>248</v>
      </c>
      <c r="B150" s="207">
        <v>1340</v>
      </c>
      <c r="C150" s="260">
        <f>C10+C39+C86+C93+C130+C131+C135+C139+C140</f>
        <v>213462</v>
      </c>
      <c r="D150" s="260">
        <f>D10+D39+D86+D93+D130+D131+D135+D139+D140</f>
        <v>196027</v>
      </c>
      <c r="E150" s="260">
        <f>E10+E39+E86+E93+E130+E131+E135+E139+E140</f>
        <v>167435</v>
      </c>
      <c r="F150" s="262">
        <f t="shared" si="21"/>
        <v>-28592</v>
      </c>
      <c r="G150" s="262">
        <f t="shared" si="35"/>
        <v>85.414254158865859</v>
      </c>
      <c r="H150" s="265"/>
      <c r="I150" s="154"/>
    </row>
    <row r="151" spans="1:16" ht="39" customHeight="1">
      <c r="A151" s="216" t="s">
        <v>140</v>
      </c>
      <c r="B151" s="217"/>
      <c r="C151" s="217"/>
      <c r="D151" s="217"/>
      <c r="E151" s="217"/>
      <c r="F151" s="204"/>
      <c r="G151" s="204"/>
      <c r="H151" s="218"/>
      <c r="I151" s="154"/>
    </row>
    <row r="152" spans="1:16" ht="37.5">
      <c r="A152" s="220" t="s">
        <v>210</v>
      </c>
      <c r="B152" s="207">
        <v>1400</v>
      </c>
      <c r="C152" s="267">
        <f>C127</f>
        <v>-23282</v>
      </c>
      <c r="D152" s="260">
        <f t="shared" ref="D152:E152" si="36">D127</f>
        <v>90</v>
      </c>
      <c r="E152" s="260">
        <f t="shared" si="36"/>
        <v>-4175</v>
      </c>
      <c r="F152" s="262">
        <f t="shared" si="21"/>
        <v>-4265</v>
      </c>
      <c r="G152" s="262">
        <f t="shared" si="35"/>
        <v>-4638.8888888888887</v>
      </c>
      <c r="H152" s="265"/>
      <c r="I152" s="154"/>
    </row>
    <row r="153" spans="1:16">
      <c r="A153" s="220" t="s">
        <v>211</v>
      </c>
      <c r="B153" s="207">
        <v>1401</v>
      </c>
      <c r="C153" s="264">
        <f>C164</f>
        <v>8258</v>
      </c>
      <c r="D153" s="260">
        <f t="shared" ref="D153:E153" si="37">D164</f>
        <v>9853</v>
      </c>
      <c r="E153" s="260">
        <f t="shared" si="37"/>
        <v>6323</v>
      </c>
      <c r="F153" s="264">
        <f t="shared" si="21"/>
        <v>-3530</v>
      </c>
      <c r="G153" s="264">
        <f t="shared" si="35"/>
        <v>64.173348218816599</v>
      </c>
      <c r="H153" s="265"/>
      <c r="I153" s="154"/>
    </row>
    <row r="154" spans="1:16" ht="37.5" customHeight="1">
      <c r="A154" s="220" t="s">
        <v>212</v>
      </c>
      <c r="B154" s="207">
        <v>1402</v>
      </c>
      <c r="C154" s="260">
        <f>C38</f>
        <v>80076</v>
      </c>
      <c r="D154" s="260">
        <f>D38</f>
        <v>0</v>
      </c>
      <c r="E154" s="260">
        <f>E38</f>
        <v>0</v>
      </c>
      <c r="F154" s="264">
        <f t="shared" si="21"/>
        <v>0</v>
      </c>
      <c r="G154" s="264" t="e">
        <f t="shared" si="35"/>
        <v>#DIV/0!</v>
      </c>
      <c r="H154" s="265"/>
      <c r="I154" s="154"/>
    </row>
    <row r="155" spans="1:16" ht="37.5">
      <c r="A155" s="220" t="s">
        <v>213</v>
      </c>
      <c r="B155" s="207">
        <v>1403</v>
      </c>
      <c r="C155" s="260">
        <f>C97</f>
        <v>80076</v>
      </c>
      <c r="D155" s="260">
        <f>D97</f>
        <v>0</v>
      </c>
      <c r="E155" s="260">
        <f>E97</f>
        <v>0</v>
      </c>
      <c r="F155" s="264">
        <f t="shared" si="21"/>
        <v>0</v>
      </c>
      <c r="G155" s="264">
        <v>0</v>
      </c>
      <c r="H155" s="265"/>
      <c r="I155" s="154"/>
    </row>
    <row r="156" spans="1:16" ht="37.5">
      <c r="A156" s="220" t="s">
        <v>235</v>
      </c>
      <c r="B156" s="207">
        <v>1404</v>
      </c>
      <c r="C156" s="264">
        <v>0</v>
      </c>
      <c r="D156" s="261">
        <v>0</v>
      </c>
      <c r="E156" s="261">
        <v>0</v>
      </c>
      <c r="F156" s="264">
        <f t="shared" si="21"/>
        <v>0</v>
      </c>
      <c r="G156" s="264" t="e">
        <f t="shared" si="35"/>
        <v>#DIV/0!</v>
      </c>
      <c r="H156" s="265"/>
      <c r="I156" s="154"/>
    </row>
    <row r="157" spans="1:16">
      <c r="A157" s="221" t="s">
        <v>115</v>
      </c>
      <c r="B157" s="222">
        <v>1410</v>
      </c>
      <c r="C157" s="258">
        <f>C152+C153-C154+C155+C156</f>
        <v>-15024</v>
      </c>
      <c r="D157" s="258">
        <f>D152+D153-D154+D155</f>
        <v>9943</v>
      </c>
      <c r="E157" s="258">
        <f>E152+E153-E154+E155</f>
        <v>2148</v>
      </c>
      <c r="F157" s="264">
        <f t="shared" si="21"/>
        <v>-7795</v>
      </c>
      <c r="G157" s="264">
        <f t="shared" si="35"/>
        <v>21.603137885949913</v>
      </c>
      <c r="H157" s="263"/>
      <c r="I157" s="154"/>
    </row>
    <row r="158" spans="1:16">
      <c r="A158" s="216" t="s">
        <v>194</v>
      </c>
      <c r="B158" s="217"/>
      <c r="C158" s="217"/>
      <c r="D158" s="217"/>
      <c r="E158" s="217"/>
      <c r="F158" s="204"/>
      <c r="G158" s="204"/>
      <c r="H158" s="218"/>
      <c r="I158" s="154"/>
    </row>
    <row r="159" spans="1:16" ht="28.5" customHeight="1">
      <c r="A159" s="220" t="s">
        <v>222</v>
      </c>
      <c r="B159" s="223">
        <v>1500</v>
      </c>
      <c r="C159" s="261">
        <v>9799</v>
      </c>
      <c r="D159" s="261">
        <f t="shared" ref="D159:E159" si="38">D160+D161</f>
        <v>35923</v>
      </c>
      <c r="E159" s="261">
        <f t="shared" si="38"/>
        <v>35235</v>
      </c>
      <c r="F159" s="264">
        <f t="shared" si="21"/>
        <v>-688</v>
      </c>
      <c r="G159" s="264">
        <f t="shared" si="35"/>
        <v>98.084792472789019</v>
      </c>
      <c r="H159" s="265"/>
      <c r="I159" s="154"/>
      <c r="J159" s="92"/>
    </row>
    <row r="160" spans="1:16" s="3" customFormat="1" ht="35.25" customHeight="1">
      <c r="A160" s="220" t="s">
        <v>220</v>
      </c>
      <c r="B160" s="85">
        <v>1501</v>
      </c>
      <c r="C160" s="261">
        <v>9253</v>
      </c>
      <c r="D160" s="261">
        <f>D11+D66+D41</f>
        <v>8532</v>
      </c>
      <c r="E160" s="261">
        <f>E11+E41+E66-1982-485</f>
        <v>6485</v>
      </c>
      <c r="F160" s="264">
        <f t="shared" si="21"/>
        <v>-2047</v>
      </c>
      <c r="G160" s="264">
        <f t="shared" si="35"/>
        <v>76.007969995311768</v>
      </c>
      <c r="H160" s="265"/>
      <c r="I160" s="154"/>
      <c r="J160" s="92"/>
      <c r="K160" s="280"/>
      <c r="L160" s="280"/>
      <c r="M160" s="280"/>
      <c r="N160" s="280"/>
      <c r="O160" s="280"/>
      <c r="P160" s="299"/>
    </row>
    <row r="161" spans="1:16" ht="20.100000000000001" customHeight="1">
      <c r="A161" s="220" t="s">
        <v>28</v>
      </c>
      <c r="B161" s="85">
        <v>1502</v>
      </c>
      <c r="C161" s="261">
        <v>546</v>
      </c>
      <c r="D161" s="261">
        <f>D12+D13+D67+D42+D19+D68</f>
        <v>27391</v>
      </c>
      <c r="E161" s="261">
        <f>E12+E13+E19+E67+E68+E42+3</f>
        <v>28750</v>
      </c>
      <c r="F161" s="264">
        <f t="shared" si="21"/>
        <v>1359</v>
      </c>
      <c r="G161" s="264">
        <f t="shared" si="35"/>
        <v>104.96148369902522</v>
      </c>
      <c r="H161" s="265"/>
      <c r="I161" s="154"/>
      <c r="J161" s="92"/>
      <c r="P161" s="280"/>
    </row>
    <row r="162" spans="1:16" ht="20.100000000000001" customHeight="1">
      <c r="A162" s="220" t="s">
        <v>5</v>
      </c>
      <c r="B162" s="223">
        <v>1510</v>
      </c>
      <c r="C162" s="261">
        <v>76657</v>
      </c>
      <c r="D162" s="261">
        <f>D14+D53+D89+D43+D120</f>
        <v>98248</v>
      </c>
      <c r="E162" s="261">
        <f>E14+E43+E53+E84+E89+E102-E103+E104-E105+E106-E107+E116-E117+E120+E123-E124+E125-E126</f>
        <v>93063</v>
      </c>
      <c r="F162" s="264">
        <f t="shared" si="21"/>
        <v>-5185</v>
      </c>
      <c r="G162" s="264">
        <f t="shared" si="35"/>
        <v>94.722538881198602</v>
      </c>
      <c r="H162" s="265"/>
      <c r="I162" s="154"/>
      <c r="J162" s="92"/>
      <c r="P162" s="280"/>
    </row>
    <row r="163" spans="1:16" ht="21" customHeight="1">
      <c r="A163" s="220" t="s">
        <v>6</v>
      </c>
      <c r="B163" s="223">
        <v>1520</v>
      </c>
      <c r="C163" s="261">
        <v>14842</v>
      </c>
      <c r="D163" s="261">
        <f>D15+D44+D54+D121</f>
        <v>21209</v>
      </c>
      <c r="E163" s="261">
        <f>E15+E44+E54+E103+E105+E107+E117+E121+E122+E124+E126</f>
        <v>18163</v>
      </c>
      <c r="F163" s="264">
        <f t="shared" si="21"/>
        <v>-3046</v>
      </c>
      <c r="G163" s="264">
        <v>6</v>
      </c>
      <c r="H163" s="265"/>
      <c r="I163" s="154"/>
      <c r="J163" s="92"/>
      <c r="P163" s="280"/>
    </row>
    <row r="164" spans="1:16" ht="20.100000000000001" customHeight="1">
      <c r="A164" s="220" t="s">
        <v>7</v>
      </c>
      <c r="B164" s="223">
        <v>1530</v>
      </c>
      <c r="C164" s="261">
        <v>8258</v>
      </c>
      <c r="D164" s="261">
        <v>9853</v>
      </c>
      <c r="E164" s="261">
        <f>E17+E55+E90+E45+E109+4</f>
        <v>6323</v>
      </c>
      <c r="F164" s="262">
        <f t="shared" si="21"/>
        <v>-3530</v>
      </c>
      <c r="G164" s="262">
        <f t="shared" ref="G164:G166" si="39">E164/D164*100</f>
        <v>64.173348218816599</v>
      </c>
      <c r="H164" s="265"/>
      <c r="I164" s="154"/>
      <c r="J164" s="92"/>
    </row>
    <row r="165" spans="1:16" ht="20.100000000000001" customHeight="1">
      <c r="A165" s="220" t="s">
        <v>29</v>
      </c>
      <c r="B165" s="223">
        <v>1540</v>
      </c>
      <c r="C165" s="261">
        <v>23830</v>
      </c>
      <c r="D165" s="261">
        <f>D150-D159-D162-D163-D164-D139-D99</f>
        <v>30778</v>
      </c>
      <c r="E165" s="261">
        <f>E16+E20+E46+E50+E51+E52+E60+E61+E63+E64+E69+E72+E100+E101+E110+E115+E118-671+4</f>
        <v>10958</v>
      </c>
      <c r="F165" s="262">
        <f t="shared" si="21"/>
        <v>-19820</v>
      </c>
      <c r="G165" s="262">
        <f t="shared" si="39"/>
        <v>35.603353044382352</v>
      </c>
      <c r="H165" s="265"/>
      <c r="I165" s="154"/>
      <c r="J165" s="92"/>
    </row>
    <row r="166" spans="1:16" ht="20.100000000000001" customHeight="1">
      <c r="A166" s="221" t="s">
        <v>54</v>
      </c>
      <c r="B166" s="222">
        <v>1550</v>
      </c>
      <c r="C166" s="268">
        <f>C159+C162+C163+C164+C165</f>
        <v>133386</v>
      </c>
      <c r="D166" s="268">
        <f>D159+D162+D163+D164+D165</f>
        <v>196011</v>
      </c>
      <c r="E166" s="268">
        <f>E159+E162+E163+E164+E165</f>
        <v>163742</v>
      </c>
      <c r="F166" s="264">
        <f t="shared" si="21"/>
        <v>-32269</v>
      </c>
      <c r="G166" s="264">
        <f t="shared" si="39"/>
        <v>83.537148425343474</v>
      </c>
      <c r="H166" s="263"/>
      <c r="I166" s="154"/>
      <c r="J166" s="92"/>
    </row>
    <row r="167" spans="1:16" ht="20.100000000000001" customHeight="1">
      <c r="A167" s="63"/>
      <c r="B167" s="67"/>
      <c r="C167" s="181"/>
      <c r="D167" s="68"/>
      <c r="E167" s="68"/>
      <c r="F167" s="68"/>
      <c r="G167" s="68"/>
      <c r="H167" s="69"/>
      <c r="I167" s="154"/>
      <c r="J167" s="92"/>
    </row>
    <row r="168" spans="1:16" s="237" customFormat="1" ht="20.25" customHeight="1" thickBot="1">
      <c r="A168" s="63" t="s">
        <v>509</v>
      </c>
      <c r="B168" s="64"/>
      <c r="C168" s="242"/>
      <c r="D168" s="65"/>
      <c r="E168" s="347" t="s">
        <v>604</v>
      </c>
      <c r="F168" s="347"/>
      <c r="G168" s="347"/>
      <c r="I168" s="322"/>
      <c r="J168" s="280"/>
      <c r="K168" s="280"/>
      <c r="L168" s="280"/>
      <c r="M168" s="280"/>
      <c r="N168" s="280"/>
      <c r="O168" s="280"/>
    </row>
    <row r="169" spans="1:16" s="1" customFormat="1" ht="21" customHeight="1">
      <c r="A169" s="235" t="s">
        <v>66</v>
      </c>
      <c r="B169" s="51"/>
      <c r="C169" s="105" t="s">
        <v>501</v>
      </c>
      <c r="D169" s="66"/>
      <c r="E169" s="344" t="s">
        <v>606</v>
      </c>
      <c r="F169" s="344"/>
      <c r="G169" s="344"/>
      <c r="I169" s="10"/>
    </row>
    <row r="170" spans="1:16" s="3" customFormat="1" ht="20.100000000000001" customHeight="1">
      <c r="A170" s="2"/>
      <c r="B170" s="12"/>
      <c r="C170" s="164"/>
      <c r="D170" s="167"/>
      <c r="E170" s="167"/>
      <c r="F170" s="2"/>
      <c r="G170" s="2"/>
      <c r="H170" s="51"/>
      <c r="I170" s="322"/>
      <c r="J170" s="322"/>
      <c r="K170" s="322"/>
      <c r="L170" s="322"/>
      <c r="M170" s="322"/>
      <c r="N170" s="322"/>
      <c r="O170" s="322"/>
    </row>
    <row r="171" spans="1:16" s="3" customFormat="1" ht="15.75" customHeight="1">
      <c r="A171" s="1"/>
      <c r="B171" s="1"/>
      <c r="C171" s="1"/>
      <c r="D171" s="1"/>
      <c r="E171" s="1"/>
      <c r="F171" s="1"/>
      <c r="G171" s="1"/>
      <c r="H171" s="70"/>
      <c r="I171" s="322"/>
      <c r="J171" s="322"/>
      <c r="K171" s="322"/>
      <c r="L171" s="322"/>
      <c r="M171" s="322"/>
      <c r="N171" s="322"/>
      <c r="O171" s="322"/>
    </row>
    <row r="172" spans="1:16" ht="16.5" customHeight="1">
      <c r="A172" s="14"/>
      <c r="C172" s="182"/>
      <c r="D172" s="15"/>
      <c r="E172" s="15"/>
      <c r="F172" s="15"/>
      <c r="G172" s="15"/>
    </row>
    <row r="173" spans="1:16">
      <c r="A173" s="14"/>
      <c r="C173" s="182"/>
      <c r="D173" s="15"/>
      <c r="E173" s="15"/>
      <c r="F173" s="15"/>
      <c r="G173" s="15"/>
    </row>
    <row r="174" spans="1:16">
      <c r="A174" s="14"/>
      <c r="C174" s="182"/>
      <c r="D174" s="15"/>
      <c r="E174" s="15"/>
      <c r="F174" s="15"/>
      <c r="G174" s="15"/>
    </row>
    <row r="175" spans="1:16">
      <c r="A175" s="14"/>
      <c r="C175" s="182"/>
      <c r="D175" s="15"/>
      <c r="E175" s="15"/>
      <c r="F175" s="15"/>
      <c r="G175" s="15"/>
    </row>
    <row r="176" spans="1:16">
      <c r="A176" s="14"/>
      <c r="C176" s="182"/>
      <c r="D176" s="15"/>
      <c r="E176" s="15"/>
      <c r="F176" s="15"/>
      <c r="G176" s="15"/>
    </row>
    <row r="177" spans="1:7">
      <c r="A177" s="14"/>
      <c r="C177" s="182"/>
      <c r="D177" s="15"/>
      <c r="E177" s="15"/>
      <c r="F177" s="15"/>
      <c r="G177" s="15"/>
    </row>
    <row r="178" spans="1:7">
      <c r="A178" s="14"/>
      <c r="C178" s="182"/>
      <c r="D178" s="15"/>
      <c r="E178" s="15"/>
      <c r="F178" s="15"/>
      <c r="G178" s="15"/>
    </row>
    <row r="179" spans="1:7">
      <c r="A179" s="14"/>
      <c r="C179" s="182"/>
      <c r="D179" s="15"/>
      <c r="E179" s="15"/>
      <c r="F179" s="15"/>
      <c r="G179" s="15"/>
    </row>
    <row r="180" spans="1:7">
      <c r="A180" s="14"/>
      <c r="C180" s="182"/>
      <c r="D180" s="15"/>
      <c r="E180" s="15"/>
      <c r="F180" s="15"/>
      <c r="G180" s="15"/>
    </row>
    <row r="181" spans="1:7">
      <c r="A181" s="14"/>
      <c r="C181" s="182"/>
      <c r="D181" s="15"/>
      <c r="E181" s="15"/>
      <c r="F181" s="15"/>
      <c r="G181" s="15"/>
    </row>
    <row r="182" spans="1:7">
      <c r="A182" s="14"/>
      <c r="C182" s="182"/>
      <c r="D182" s="15"/>
      <c r="E182" s="15"/>
      <c r="F182" s="15"/>
      <c r="G182" s="15"/>
    </row>
    <row r="183" spans="1:7">
      <c r="A183" s="14"/>
      <c r="C183" s="182"/>
      <c r="D183" s="15"/>
      <c r="E183" s="15"/>
      <c r="F183" s="15"/>
      <c r="G183" s="15"/>
    </row>
    <row r="184" spans="1:7">
      <c r="A184" s="14"/>
      <c r="C184" s="182"/>
      <c r="D184" s="15"/>
      <c r="E184" s="15"/>
      <c r="F184" s="15"/>
      <c r="G184" s="15"/>
    </row>
    <row r="185" spans="1:7">
      <c r="A185" s="14"/>
      <c r="C185" s="182"/>
      <c r="D185" s="15"/>
      <c r="E185" s="15"/>
      <c r="F185" s="15"/>
      <c r="G185" s="15"/>
    </row>
    <row r="186" spans="1:7">
      <c r="A186" s="14"/>
      <c r="C186" s="182"/>
      <c r="D186" s="15"/>
      <c r="E186" s="15"/>
      <c r="F186" s="15"/>
      <c r="G186" s="15"/>
    </row>
    <row r="187" spans="1:7">
      <c r="A187" s="14"/>
      <c r="C187" s="182"/>
      <c r="D187" s="15"/>
      <c r="E187" s="15"/>
      <c r="F187" s="15"/>
      <c r="G187" s="15"/>
    </row>
    <row r="188" spans="1:7">
      <c r="A188" s="14"/>
      <c r="C188" s="182"/>
      <c r="D188" s="15"/>
      <c r="E188" s="15"/>
      <c r="F188" s="15"/>
      <c r="G188" s="15"/>
    </row>
    <row r="189" spans="1:7">
      <c r="A189" s="14"/>
      <c r="C189" s="182"/>
      <c r="D189" s="15"/>
      <c r="E189" s="15"/>
      <c r="F189" s="15"/>
      <c r="G189" s="15"/>
    </row>
    <row r="190" spans="1:7">
      <c r="A190" s="14"/>
      <c r="C190" s="182"/>
      <c r="D190" s="15"/>
      <c r="E190" s="15"/>
      <c r="F190" s="15"/>
      <c r="G190" s="15"/>
    </row>
    <row r="191" spans="1:7">
      <c r="A191" s="14"/>
      <c r="C191" s="182"/>
      <c r="D191" s="15"/>
      <c r="E191" s="15"/>
      <c r="F191" s="15"/>
      <c r="G191" s="15"/>
    </row>
    <row r="192" spans="1:7">
      <c r="A192" s="14"/>
      <c r="C192" s="182"/>
      <c r="D192" s="15"/>
      <c r="E192" s="15"/>
      <c r="F192" s="15"/>
      <c r="G192" s="15"/>
    </row>
    <row r="193" spans="1:7">
      <c r="A193" s="14"/>
      <c r="C193" s="182"/>
      <c r="D193" s="15"/>
      <c r="E193" s="15"/>
      <c r="F193" s="15"/>
      <c r="G193" s="15"/>
    </row>
    <row r="194" spans="1:7">
      <c r="A194" s="14"/>
      <c r="C194" s="182"/>
      <c r="D194" s="15"/>
      <c r="E194" s="15"/>
      <c r="F194" s="15"/>
      <c r="G194" s="15"/>
    </row>
    <row r="195" spans="1:7">
      <c r="A195" s="14"/>
      <c r="C195" s="182"/>
      <c r="D195" s="15"/>
      <c r="E195" s="15"/>
      <c r="F195" s="15"/>
      <c r="G195" s="15"/>
    </row>
    <row r="196" spans="1:7">
      <c r="A196" s="14"/>
      <c r="C196" s="182"/>
      <c r="D196" s="15"/>
      <c r="E196" s="15"/>
      <c r="F196" s="15"/>
      <c r="G196" s="15"/>
    </row>
    <row r="197" spans="1:7">
      <c r="A197" s="14"/>
      <c r="C197" s="182"/>
      <c r="D197" s="15"/>
      <c r="E197" s="15"/>
      <c r="F197" s="15"/>
      <c r="G197" s="15"/>
    </row>
    <row r="198" spans="1:7">
      <c r="A198" s="14"/>
      <c r="C198" s="182"/>
      <c r="D198" s="15"/>
      <c r="E198" s="15"/>
      <c r="F198" s="15"/>
      <c r="G198" s="15"/>
    </row>
    <row r="199" spans="1:7">
      <c r="A199" s="14"/>
      <c r="C199" s="182"/>
      <c r="D199" s="15"/>
      <c r="E199" s="15"/>
      <c r="F199" s="15"/>
      <c r="G199" s="15"/>
    </row>
    <row r="200" spans="1:7">
      <c r="A200" s="14"/>
      <c r="C200" s="182"/>
      <c r="D200" s="15"/>
      <c r="E200" s="15"/>
      <c r="F200" s="15"/>
      <c r="G200" s="15"/>
    </row>
    <row r="201" spans="1:7">
      <c r="A201" s="14"/>
      <c r="C201" s="182"/>
      <c r="D201" s="15"/>
      <c r="E201" s="15"/>
      <c r="F201" s="15"/>
      <c r="G201" s="15"/>
    </row>
    <row r="202" spans="1:7">
      <c r="A202" s="14"/>
      <c r="C202" s="182"/>
      <c r="D202" s="15"/>
      <c r="E202" s="15"/>
      <c r="F202" s="15"/>
      <c r="G202" s="15"/>
    </row>
    <row r="203" spans="1:7">
      <c r="A203" s="14"/>
      <c r="C203" s="182"/>
      <c r="D203" s="15"/>
      <c r="E203" s="15"/>
      <c r="F203" s="15"/>
      <c r="G203" s="15"/>
    </row>
    <row r="204" spans="1:7">
      <c r="A204" s="14"/>
      <c r="C204" s="182"/>
      <c r="D204" s="15"/>
      <c r="E204" s="15"/>
      <c r="F204" s="15"/>
      <c r="G204" s="15"/>
    </row>
    <row r="205" spans="1:7">
      <c r="A205" s="14"/>
      <c r="C205" s="182"/>
      <c r="D205" s="15"/>
      <c r="E205" s="15"/>
      <c r="F205" s="15"/>
      <c r="G205" s="15"/>
    </row>
    <row r="206" spans="1:7">
      <c r="A206" s="14"/>
      <c r="C206" s="182"/>
      <c r="D206" s="15"/>
      <c r="E206" s="15"/>
      <c r="F206" s="15"/>
      <c r="G206" s="15"/>
    </row>
    <row r="207" spans="1:7">
      <c r="A207" s="14"/>
      <c r="C207" s="182"/>
      <c r="D207" s="15"/>
      <c r="E207" s="15"/>
      <c r="F207" s="15"/>
      <c r="G207" s="15"/>
    </row>
    <row r="208" spans="1:7">
      <c r="A208" s="14"/>
      <c r="C208" s="182"/>
      <c r="D208" s="15"/>
      <c r="E208" s="15"/>
      <c r="F208" s="15"/>
      <c r="G208" s="15"/>
    </row>
    <row r="209" spans="1:7">
      <c r="A209" s="14"/>
      <c r="C209" s="182"/>
      <c r="D209" s="15"/>
      <c r="E209" s="15"/>
      <c r="F209" s="15"/>
      <c r="G209" s="15"/>
    </row>
    <row r="210" spans="1:7">
      <c r="A210" s="14"/>
      <c r="C210" s="182"/>
      <c r="D210" s="15"/>
      <c r="E210" s="15"/>
      <c r="F210" s="15"/>
      <c r="G210" s="15"/>
    </row>
    <row r="211" spans="1:7">
      <c r="A211" s="14"/>
      <c r="C211" s="182"/>
      <c r="D211" s="15"/>
      <c r="E211" s="15"/>
      <c r="F211" s="15"/>
      <c r="G211" s="15"/>
    </row>
    <row r="212" spans="1:7">
      <c r="A212" s="14"/>
      <c r="C212" s="182"/>
      <c r="D212" s="15"/>
      <c r="E212" s="15"/>
      <c r="F212" s="15"/>
      <c r="G212" s="15"/>
    </row>
    <row r="213" spans="1:7">
      <c r="A213" s="14"/>
      <c r="C213" s="182"/>
      <c r="D213" s="15"/>
      <c r="E213" s="15"/>
      <c r="F213" s="15"/>
      <c r="G213" s="15"/>
    </row>
    <row r="214" spans="1:7">
      <c r="A214" s="14"/>
      <c r="C214" s="182"/>
      <c r="D214" s="15"/>
      <c r="E214" s="15"/>
      <c r="F214" s="15"/>
      <c r="G214" s="15"/>
    </row>
    <row r="215" spans="1:7">
      <c r="A215" s="14"/>
      <c r="C215" s="182"/>
      <c r="D215" s="15"/>
      <c r="E215" s="15"/>
      <c r="F215" s="15"/>
      <c r="G215" s="15"/>
    </row>
    <row r="216" spans="1:7">
      <c r="A216" s="14"/>
      <c r="C216" s="182"/>
      <c r="D216" s="15"/>
      <c r="E216" s="15"/>
      <c r="F216" s="15"/>
      <c r="G216" s="15"/>
    </row>
    <row r="217" spans="1:7">
      <c r="A217" s="14"/>
      <c r="C217" s="182"/>
      <c r="D217" s="15"/>
      <c r="E217" s="15"/>
      <c r="F217" s="15"/>
      <c r="G217" s="15"/>
    </row>
    <row r="218" spans="1:7">
      <c r="A218" s="14"/>
      <c r="C218" s="182"/>
      <c r="D218" s="15"/>
      <c r="E218" s="15"/>
      <c r="F218" s="15"/>
      <c r="G218" s="15"/>
    </row>
    <row r="219" spans="1:7">
      <c r="A219" s="14"/>
      <c r="C219" s="182"/>
      <c r="D219" s="15"/>
      <c r="E219" s="15"/>
      <c r="F219" s="15"/>
      <c r="G219" s="15"/>
    </row>
    <row r="220" spans="1:7">
      <c r="A220" s="14"/>
      <c r="C220" s="182"/>
      <c r="D220" s="15"/>
      <c r="E220" s="15"/>
      <c r="F220" s="15"/>
      <c r="G220" s="15"/>
    </row>
    <row r="221" spans="1:7">
      <c r="A221" s="14"/>
      <c r="C221" s="182"/>
      <c r="D221" s="15"/>
      <c r="E221" s="15"/>
      <c r="F221" s="15"/>
      <c r="G221" s="15"/>
    </row>
    <row r="222" spans="1:7">
      <c r="A222" s="14"/>
      <c r="C222" s="182"/>
      <c r="D222" s="15"/>
      <c r="E222" s="15"/>
      <c r="F222" s="15"/>
      <c r="G222" s="15"/>
    </row>
    <row r="223" spans="1:7">
      <c r="A223" s="25"/>
    </row>
    <row r="224" spans="1:7">
      <c r="A224" s="25"/>
    </row>
    <row r="225" spans="1:1">
      <c r="A225" s="25"/>
    </row>
    <row r="226" spans="1:1">
      <c r="A226" s="25"/>
    </row>
    <row r="227" spans="1:1">
      <c r="A227" s="25"/>
    </row>
    <row r="228" spans="1:1">
      <c r="A228" s="25"/>
    </row>
    <row r="229" spans="1:1">
      <c r="A229" s="25"/>
    </row>
    <row r="230" spans="1:1">
      <c r="A230" s="25"/>
    </row>
    <row r="231" spans="1:1">
      <c r="A231" s="25"/>
    </row>
    <row r="232" spans="1:1">
      <c r="A232" s="25"/>
    </row>
    <row r="233" spans="1:1">
      <c r="A233" s="25"/>
    </row>
    <row r="234" spans="1:1">
      <c r="A234" s="25"/>
    </row>
    <row r="235" spans="1:1">
      <c r="A235" s="25"/>
    </row>
    <row r="236" spans="1:1">
      <c r="A236" s="25"/>
    </row>
    <row r="237" spans="1:1">
      <c r="A237" s="25"/>
    </row>
    <row r="238" spans="1:1">
      <c r="A238" s="25"/>
    </row>
    <row r="239" spans="1:1">
      <c r="A239" s="25"/>
    </row>
    <row r="240" spans="1:1">
      <c r="A240" s="25"/>
    </row>
    <row r="241" spans="1:1">
      <c r="A241" s="25"/>
    </row>
    <row r="242" spans="1:1">
      <c r="A242" s="25"/>
    </row>
    <row r="243" spans="1:1">
      <c r="A243" s="25"/>
    </row>
    <row r="244" spans="1:1">
      <c r="A244" s="25"/>
    </row>
    <row r="245" spans="1:1">
      <c r="A245" s="25"/>
    </row>
    <row r="246" spans="1:1">
      <c r="A246" s="25"/>
    </row>
    <row r="247" spans="1:1">
      <c r="A247" s="25"/>
    </row>
    <row r="248" spans="1:1">
      <c r="A248" s="25"/>
    </row>
    <row r="249" spans="1:1">
      <c r="A249" s="25"/>
    </row>
    <row r="250" spans="1:1">
      <c r="A250" s="25"/>
    </row>
    <row r="251" spans="1:1">
      <c r="A251" s="25"/>
    </row>
    <row r="252" spans="1:1">
      <c r="A252" s="25"/>
    </row>
    <row r="253" spans="1:1">
      <c r="A253" s="25"/>
    </row>
    <row r="254" spans="1:1">
      <c r="A254" s="25"/>
    </row>
    <row r="255" spans="1:1">
      <c r="A255" s="25"/>
    </row>
    <row r="256" spans="1:1">
      <c r="A256" s="25"/>
    </row>
    <row r="257" spans="1:1">
      <c r="A257" s="25"/>
    </row>
    <row r="258" spans="1:1">
      <c r="A258" s="25"/>
    </row>
    <row r="259" spans="1:1">
      <c r="A259" s="25"/>
    </row>
    <row r="260" spans="1:1">
      <c r="A260" s="25"/>
    </row>
    <row r="261" spans="1:1">
      <c r="A261" s="25"/>
    </row>
    <row r="262" spans="1:1">
      <c r="A262" s="25"/>
    </row>
    <row r="263" spans="1:1">
      <c r="A263" s="25"/>
    </row>
    <row r="264" spans="1:1">
      <c r="A264" s="25"/>
    </row>
    <row r="265" spans="1:1">
      <c r="A265" s="25"/>
    </row>
    <row r="266" spans="1:1">
      <c r="A266" s="25"/>
    </row>
    <row r="267" spans="1:1">
      <c r="A267" s="25"/>
    </row>
    <row r="268" spans="1:1">
      <c r="A268" s="25"/>
    </row>
    <row r="269" spans="1:1">
      <c r="A269" s="25"/>
    </row>
    <row r="270" spans="1:1">
      <c r="A270" s="25"/>
    </row>
    <row r="271" spans="1:1">
      <c r="A271" s="25"/>
    </row>
    <row r="272" spans="1:1">
      <c r="A272" s="25"/>
    </row>
    <row r="273" spans="1:1">
      <c r="A273" s="25"/>
    </row>
    <row r="274" spans="1:1">
      <c r="A274" s="25"/>
    </row>
    <row r="275" spans="1:1">
      <c r="A275" s="25"/>
    </row>
    <row r="276" spans="1:1">
      <c r="A276" s="25"/>
    </row>
    <row r="277" spans="1:1">
      <c r="A277" s="25"/>
    </row>
    <row r="278" spans="1:1">
      <c r="A278" s="25"/>
    </row>
    <row r="279" spans="1:1">
      <c r="A279" s="25"/>
    </row>
    <row r="280" spans="1:1">
      <c r="A280" s="25"/>
    </row>
    <row r="281" spans="1:1">
      <c r="A281" s="25"/>
    </row>
    <row r="282" spans="1:1">
      <c r="A282" s="25"/>
    </row>
    <row r="283" spans="1:1">
      <c r="A283" s="25"/>
    </row>
    <row r="284" spans="1:1">
      <c r="A284" s="25"/>
    </row>
    <row r="285" spans="1:1">
      <c r="A285" s="25"/>
    </row>
    <row r="286" spans="1:1">
      <c r="A286" s="25"/>
    </row>
    <row r="287" spans="1:1">
      <c r="A287" s="25"/>
    </row>
    <row r="288" spans="1:1">
      <c r="A288" s="25"/>
    </row>
    <row r="289" spans="1:1">
      <c r="A289" s="25"/>
    </row>
    <row r="290" spans="1:1">
      <c r="A290" s="25"/>
    </row>
    <row r="291" spans="1:1">
      <c r="A291" s="25"/>
    </row>
    <row r="292" spans="1:1">
      <c r="A292" s="25"/>
    </row>
    <row r="293" spans="1:1">
      <c r="A293" s="25"/>
    </row>
    <row r="294" spans="1:1">
      <c r="A294" s="25"/>
    </row>
    <row r="295" spans="1:1">
      <c r="A295" s="25"/>
    </row>
    <row r="296" spans="1:1">
      <c r="A296" s="25"/>
    </row>
    <row r="297" spans="1:1">
      <c r="A297" s="25"/>
    </row>
    <row r="298" spans="1:1">
      <c r="A298" s="25"/>
    </row>
    <row r="299" spans="1:1">
      <c r="A299" s="25"/>
    </row>
    <row r="300" spans="1:1">
      <c r="A300" s="25"/>
    </row>
    <row r="301" spans="1:1">
      <c r="A301" s="25"/>
    </row>
    <row r="302" spans="1:1">
      <c r="A302" s="25"/>
    </row>
    <row r="303" spans="1:1">
      <c r="A303" s="25"/>
    </row>
    <row r="304" spans="1:1">
      <c r="A304" s="25"/>
    </row>
    <row r="305" spans="1:1">
      <c r="A305" s="25"/>
    </row>
    <row r="306" spans="1:1">
      <c r="A306" s="25"/>
    </row>
    <row r="307" spans="1:1">
      <c r="A307" s="25"/>
    </row>
    <row r="308" spans="1:1">
      <c r="A308" s="25"/>
    </row>
    <row r="309" spans="1:1">
      <c r="A309" s="25"/>
    </row>
    <row r="310" spans="1:1">
      <c r="A310" s="25"/>
    </row>
    <row r="311" spans="1:1">
      <c r="A311" s="25"/>
    </row>
    <row r="312" spans="1:1">
      <c r="A312" s="25"/>
    </row>
    <row r="313" spans="1:1">
      <c r="A313" s="25"/>
    </row>
    <row r="314" spans="1:1">
      <c r="A314" s="25"/>
    </row>
    <row r="315" spans="1:1">
      <c r="A315" s="25"/>
    </row>
    <row r="316" spans="1:1">
      <c r="A316" s="25"/>
    </row>
    <row r="317" spans="1:1">
      <c r="A317" s="25"/>
    </row>
    <row r="318" spans="1:1">
      <c r="A318" s="25"/>
    </row>
    <row r="319" spans="1:1">
      <c r="A319" s="25"/>
    </row>
    <row r="320" spans="1:1">
      <c r="A320" s="25"/>
    </row>
    <row r="321" spans="1:1">
      <c r="A321" s="25"/>
    </row>
    <row r="322" spans="1:1">
      <c r="A322" s="25"/>
    </row>
    <row r="323" spans="1:1">
      <c r="A323" s="25"/>
    </row>
    <row r="324" spans="1:1">
      <c r="A324" s="25"/>
    </row>
    <row r="325" spans="1:1">
      <c r="A325" s="25"/>
    </row>
    <row r="326" spans="1:1">
      <c r="A326" s="25"/>
    </row>
    <row r="327" spans="1:1">
      <c r="A327" s="25"/>
    </row>
    <row r="328" spans="1:1">
      <c r="A328" s="25"/>
    </row>
    <row r="329" spans="1:1">
      <c r="A329" s="25"/>
    </row>
    <row r="330" spans="1:1">
      <c r="A330" s="25"/>
    </row>
    <row r="331" spans="1:1">
      <c r="A331" s="25"/>
    </row>
    <row r="332" spans="1:1">
      <c r="A332" s="25"/>
    </row>
    <row r="333" spans="1:1">
      <c r="A333" s="25"/>
    </row>
    <row r="334" spans="1:1">
      <c r="A334" s="25"/>
    </row>
    <row r="335" spans="1:1">
      <c r="A335" s="25"/>
    </row>
    <row r="336" spans="1:1">
      <c r="A336" s="25"/>
    </row>
    <row r="337" spans="1:1">
      <c r="A337" s="25"/>
    </row>
    <row r="338" spans="1:1">
      <c r="A338" s="25"/>
    </row>
    <row r="339" spans="1:1">
      <c r="A339" s="25"/>
    </row>
    <row r="340" spans="1:1">
      <c r="A340" s="25"/>
    </row>
    <row r="341" spans="1:1">
      <c r="A341" s="25"/>
    </row>
    <row r="342" spans="1:1">
      <c r="A342" s="25"/>
    </row>
    <row r="343" spans="1:1">
      <c r="A343" s="25"/>
    </row>
    <row r="344" spans="1:1">
      <c r="A344" s="25"/>
    </row>
    <row r="345" spans="1:1">
      <c r="A345" s="25"/>
    </row>
    <row r="346" spans="1:1">
      <c r="A346" s="25"/>
    </row>
    <row r="347" spans="1:1">
      <c r="A347" s="25"/>
    </row>
    <row r="348" spans="1:1">
      <c r="A348" s="25"/>
    </row>
    <row r="349" spans="1:1">
      <c r="A349" s="25"/>
    </row>
    <row r="350" spans="1:1">
      <c r="A350" s="25"/>
    </row>
    <row r="351" spans="1:1">
      <c r="A351" s="25"/>
    </row>
    <row r="352" spans="1:1">
      <c r="A352" s="25"/>
    </row>
    <row r="353" spans="1:1">
      <c r="A353" s="25"/>
    </row>
    <row r="354" spans="1:1">
      <c r="A354" s="25"/>
    </row>
    <row r="355" spans="1:1">
      <c r="A355" s="25"/>
    </row>
    <row r="356" spans="1:1">
      <c r="A356" s="25"/>
    </row>
    <row r="357" spans="1:1">
      <c r="A357" s="25"/>
    </row>
    <row r="358" spans="1:1">
      <c r="A358" s="25"/>
    </row>
    <row r="359" spans="1:1">
      <c r="A359" s="25"/>
    </row>
    <row r="360" spans="1:1">
      <c r="A360" s="25"/>
    </row>
    <row r="361" spans="1:1">
      <c r="A361" s="25"/>
    </row>
    <row r="362" spans="1:1">
      <c r="A362" s="25"/>
    </row>
    <row r="363" spans="1:1">
      <c r="A363" s="25"/>
    </row>
    <row r="364" spans="1:1">
      <c r="A364" s="25"/>
    </row>
    <row r="365" spans="1:1">
      <c r="A365" s="25"/>
    </row>
    <row r="366" spans="1:1">
      <c r="A366" s="25"/>
    </row>
    <row r="367" spans="1:1">
      <c r="A367" s="25"/>
    </row>
    <row r="368" spans="1:1">
      <c r="A368" s="25"/>
    </row>
    <row r="369" spans="1:1">
      <c r="A369" s="25"/>
    </row>
    <row r="370" spans="1:1">
      <c r="A370" s="25"/>
    </row>
    <row r="371" spans="1:1">
      <c r="A371" s="25"/>
    </row>
    <row r="372" spans="1:1">
      <c r="A372" s="25"/>
    </row>
    <row r="373" spans="1:1">
      <c r="A373" s="25"/>
    </row>
    <row r="374" spans="1:1">
      <c r="A374" s="25"/>
    </row>
    <row r="375" spans="1:1">
      <c r="A375" s="25"/>
    </row>
    <row r="376" spans="1:1">
      <c r="A376" s="25"/>
    </row>
    <row r="377" spans="1:1">
      <c r="A377" s="25"/>
    </row>
    <row r="378" spans="1:1">
      <c r="A378" s="25"/>
    </row>
    <row r="379" spans="1:1">
      <c r="A379" s="25"/>
    </row>
    <row r="380" spans="1:1">
      <c r="A380" s="25"/>
    </row>
    <row r="381" spans="1:1">
      <c r="A381" s="25"/>
    </row>
    <row r="382" spans="1:1">
      <c r="A382" s="25"/>
    </row>
    <row r="383" spans="1:1">
      <c r="A383" s="25"/>
    </row>
    <row r="384" spans="1:1">
      <c r="A384" s="25"/>
    </row>
    <row r="385" spans="1:1">
      <c r="A385" s="25"/>
    </row>
    <row r="386" spans="1:1">
      <c r="A386" s="25"/>
    </row>
    <row r="387" spans="1:1">
      <c r="A387" s="25"/>
    </row>
    <row r="388" spans="1:1">
      <c r="A388" s="25"/>
    </row>
    <row r="389" spans="1:1">
      <c r="A389" s="25"/>
    </row>
  </sheetData>
  <sheetProtection formatCells="0" formatColumns="0" formatRows="0" insertRows="0" deleteRows="0"/>
  <autoFilter ref="A3:I166">
    <filterColumn colId="3" showButton="0"/>
    <filterColumn colId="4" showButton="0"/>
    <filterColumn colId="5" showButton="0"/>
  </autoFilter>
  <mergeCells count="10">
    <mergeCell ref="I118:M118"/>
    <mergeCell ref="A1:H1"/>
    <mergeCell ref="E169:G169"/>
    <mergeCell ref="H3:H4"/>
    <mergeCell ref="A6:H6"/>
    <mergeCell ref="B3:B4"/>
    <mergeCell ref="A3:A4"/>
    <mergeCell ref="C3:C4"/>
    <mergeCell ref="D3:G3"/>
    <mergeCell ref="E168:G168"/>
  </mergeCells>
  <phoneticPr fontId="0" type="noConversion"/>
  <pageMargins left="0.78740157480314965" right="0.39370078740157483" top="0.59055118110236227" bottom="0.39370078740157483" header="0.19685039370078741" footer="0.11811023622047245"/>
  <pageSetup paperSize="9" scale="5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3399FF"/>
    <pageSetUpPr fitToPage="1"/>
  </sheetPr>
  <dimension ref="A1:K199"/>
  <sheetViews>
    <sheetView zoomScale="70" zoomScaleNormal="70" zoomScaleSheetLayoutView="70" zoomScalePageLayoutView="85" workbookViewId="0">
      <pane ySplit="4" topLeftCell="A5" activePane="bottomLeft" state="frozen"/>
      <selection pane="bottomLeft" activeCell="K49" sqref="K49"/>
    </sheetView>
  </sheetViews>
  <sheetFormatPr defaultColWidth="77.85546875" defaultRowHeight="18.75" outlineLevelRow="1"/>
  <cols>
    <col min="1" max="1" width="61.28515625" style="21" customWidth="1"/>
    <col min="2" max="2" width="15.28515625" style="24" customWidth="1"/>
    <col min="3" max="3" width="14.85546875" style="24" customWidth="1"/>
    <col min="4" max="4" width="17.85546875" style="21" customWidth="1"/>
    <col min="5" max="7" width="13.7109375" style="21" customWidth="1"/>
    <col min="8" max="8" width="10" style="21" customWidth="1"/>
    <col min="9" max="9" width="9.5703125" style="21" customWidth="1"/>
    <col min="10" max="252" width="9.140625" style="21" customWidth="1"/>
    <col min="253" max="16384" width="77.85546875" style="21"/>
  </cols>
  <sheetData>
    <row r="1" spans="1:7">
      <c r="A1" s="367" t="s">
        <v>249</v>
      </c>
      <c r="B1" s="367"/>
      <c r="C1" s="367"/>
      <c r="D1" s="367"/>
      <c r="E1" s="367"/>
      <c r="F1" s="367"/>
      <c r="G1" s="367"/>
    </row>
    <row r="2" spans="1:7" outlineLevel="1">
      <c r="A2" s="20"/>
      <c r="B2" s="27"/>
      <c r="C2" s="20"/>
      <c r="D2" s="20"/>
      <c r="E2" s="20"/>
      <c r="F2" s="20"/>
      <c r="G2" s="20"/>
    </row>
    <row r="3" spans="1:7" ht="38.25" customHeight="1">
      <c r="A3" s="368" t="s">
        <v>201</v>
      </c>
      <c r="B3" s="369" t="s">
        <v>18</v>
      </c>
      <c r="C3" s="370" t="s">
        <v>479</v>
      </c>
      <c r="D3" s="371" t="s">
        <v>587</v>
      </c>
      <c r="E3" s="371"/>
      <c r="F3" s="371"/>
      <c r="G3" s="371"/>
    </row>
    <row r="4" spans="1:7" ht="50.25" customHeight="1">
      <c r="A4" s="368"/>
      <c r="B4" s="369"/>
      <c r="C4" s="370"/>
      <c r="D4" s="155" t="s">
        <v>473</v>
      </c>
      <c r="E4" s="155" t="s">
        <v>474</v>
      </c>
      <c r="F4" s="183" t="s">
        <v>478</v>
      </c>
      <c r="G4" s="183" t="s">
        <v>476</v>
      </c>
    </row>
    <row r="5" spans="1:7" ht="18" customHeight="1">
      <c r="A5" s="26">
        <v>1</v>
      </c>
      <c r="B5" s="162">
        <v>2</v>
      </c>
      <c r="C5" s="162">
        <v>3</v>
      </c>
      <c r="D5" s="252">
        <v>4</v>
      </c>
      <c r="E5" s="162">
        <v>5</v>
      </c>
      <c r="F5" s="162">
        <v>6</v>
      </c>
      <c r="G5" s="159">
        <v>7</v>
      </c>
    </row>
    <row r="6" spans="1:7" ht="17.25" customHeight="1">
      <c r="A6" s="364" t="s">
        <v>124</v>
      </c>
      <c r="B6" s="365"/>
      <c r="C6" s="365"/>
      <c r="D6" s="365"/>
      <c r="E6" s="365"/>
      <c r="F6" s="365"/>
      <c r="G6" s="366"/>
    </row>
    <row r="7" spans="1:7" ht="57" customHeight="1">
      <c r="A7" s="28" t="s">
        <v>55</v>
      </c>
      <c r="B7" s="159">
        <v>2000</v>
      </c>
      <c r="C7" s="317">
        <v>-125523</v>
      </c>
      <c r="D7" s="251">
        <v>-144651</v>
      </c>
      <c r="E7" s="85">
        <v>-137505</v>
      </c>
      <c r="F7" s="147">
        <f t="shared" ref="F7" si="0">E7-D7</f>
        <v>7146</v>
      </c>
      <c r="G7" s="148">
        <f t="shared" ref="G7" si="1">E7/D7*100</f>
        <v>95.059833668623099</v>
      </c>
    </row>
    <row r="8" spans="1:7" ht="37.5">
      <c r="A8" s="22" t="s">
        <v>170</v>
      </c>
      <c r="B8" s="159">
        <v>2010</v>
      </c>
      <c r="C8" s="85">
        <v>0</v>
      </c>
      <c r="D8" s="251">
        <v>49</v>
      </c>
      <c r="E8" s="85">
        <v>0</v>
      </c>
      <c r="F8" s="147">
        <f t="shared" ref="F8:F45" si="2">E8-D8</f>
        <v>-49</v>
      </c>
      <c r="G8" s="148">
        <f t="shared" ref="G8:G45" si="3">E8/D8*100</f>
        <v>0</v>
      </c>
    </row>
    <row r="9" spans="1:7" ht="42.75" customHeight="1">
      <c r="A9" s="5" t="s">
        <v>251</v>
      </c>
      <c r="B9" s="159">
        <v>2011</v>
      </c>
      <c r="C9" s="85">
        <v>0</v>
      </c>
      <c r="D9" s="278">
        <v>11</v>
      </c>
      <c r="E9" s="85">
        <v>0</v>
      </c>
      <c r="F9" s="147">
        <f t="shared" si="2"/>
        <v>-11</v>
      </c>
      <c r="G9" s="148">
        <f t="shared" si="3"/>
        <v>0</v>
      </c>
    </row>
    <row r="10" spans="1:7" ht="93.75">
      <c r="A10" s="5" t="s">
        <v>252</v>
      </c>
      <c r="B10" s="159">
        <v>2012</v>
      </c>
      <c r="C10" s="85">
        <v>0</v>
      </c>
      <c r="D10" s="278">
        <v>38</v>
      </c>
      <c r="E10" s="85">
        <v>0</v>
      </c>
      <c r="F10" s="147">
        <f t="shared" si="2"/>
        <v>-38</v>
      </c>
      <c r="G10" s="148">
        <f t="shared" si="3"/>
        <v>0</v>
      </c>
    </row>
    <row r="11" spans="1:7" ht="20.100000000000001" customHeight="1">
      <c r="A11" s="5" t="s">
        <v>166</v>
      </c>
      <c r="B11" s="159">
        <v>2020</v>
      </c>
      <c r="C11" s="85"/>
      <c r="D11" s="251">
        <v>0</v>
      </c>
      <c r="E11" s="85">
        <v>0</v>
      </c>
      <c r="F11" s="147">
        <f t="shared" si="2"/>
        <v>0</v>
      </c>
      <c r="G11" s="148">
        <v>0</v>
      </c>
    </row>
    <row r="12" spans="1:7" s="23" customFormat="1" ht="20.100000000000001" customHeight="1">
      <c r="A12" s="22" t="s">
        <v>63</v>
      </c>
      <c r="B12" s="159">
        <v>2030</v>
      </c>
      <c r="C12" s="85">
        <v>0</v>
      </c>
      <c r="D12" s="251">
        <v>0</v>
      </c>
      <c r="E12" s="85">
        <v>0</v>
      </c>
      <c r="F12" s="147">
        <f t="shared" si="2"/>
        <v>0</v>
      </c>
      <c r="G12" s="148">
        <v>0</v>
      </c>
    </row>
    <row r="13" spans="1:7" ht="37.5">
      <c r="A13" s="22" t="s">
        <v>267</v>
      </c>
      <c r="B13" s="159">
        <v>2031</v>
      </c>
      <c r="C13" s="85">
        <v>0</v>
      </c>
      <c r="D13" s="251">
        <v>0</v>
      </c>
      <c r="E13" s="85">
        <v>0</v>
      </c>
      <c r="F13" s="147">
        <f t="shared" si="2"/>
        <v>0</v>
      </c>
      <c r="G13" s="148">
        <v>0</v>
      </c>
    </row>
    <row r="14" spans="1:7" ht="20.100000000000001" customHeight="1">
      <c r="A14" s="22" t="s">
        <v>26</v>
      </c>
      <c r="B14" s="159">
        <v>2040</v>
      </c>
      <c r="C14" s="85">
        <v>0</v>
      </c>
      <c r="D14" s="251">
        <v>0</v>
      </c>
      <c r="E14" s="85">
        <v>0</v>
      </c>
      <c r="F14" s="147">
        <f t="shared" si="2"/>
        <v>0</v>
      </c>
      <c r="G14" s="148">
        <v>0</v>
      </c>
    </row>
    <row r="15" spans="1:7" ht="20.100000000000001" customHeight="1">
      <c r="A15" s="80" t="s">
        <v>96</v>
      </c>
      <c r="B15" s="159">
        <v>2050</v>
      </c>
      <c r="C15" s="85">
        <v>0</v>
      </c>
      <c r="D15" s="251">
        <v>0</v>
      </c>
      <c r="E15" s="85">
        <v>0</v>
      </c>
      <c r="F15" s="147">
        <f t="shared" si="2"/>
        <v>0</v>
      </c>
      <c r="G15" s="148">
        <v>0</v>
      </c>
    </row>
    <row r="16" spans="1:7" ht="20.100000000000001" customHeight="1">
      <c r="A16" s="80" t="s">
        <v>97</v>
      </c>
      <c r="B16" s="159">
        <v>2060</v>
      </c>
      <c r="C16" s="82">
        <v>0</v>
      </c>
      <c r="D16" s="245">
        <v>0</v>
      </c>
      <c r="E16" s="245">
        <f>E17+E18+E19</f>
        <v>9595</v>
      </c>
      <c r="F16" s="147">
        <f t="shared" si="2"/>
        <v>9595</v>
      </c>
      <c r="G16" s="148">
        <v>0</v>
      </c>
    </row>
    <row r="17" spans="1:11" ht="38.25" customHeight="1">
      <c r="A17" s="80" t="s">
        <v>335</v>
      </c>
      <c r="B17" s="159" t="s">
        <v>336</v>
      </c>
      <c r="C17" s="82">
        <v>0</v>
      </c>
      <c r="D17" s="245">
        <v>0</v>
      </c>
      <c r="E17" s="82">
        <v>0</v>
      </c>
      <c r="F17" s="147">
        <f t="shared" si="2"/>
        <v>0</v>
      </c>
      <c r="G17" s="148">
        <v>0</v>
      </c>
    </row>
    <row r="18" spans="1:11" ht="38.25" customHeight="1">
      <c r="A18" s="80" t="s">
        <v>564</v>
      </c>
      <c r="B18" s="296" t="s">
        <v>563</v>
      </c>
      <c r="C18" s="245"/>
      <c r="D18" s="245"/>
      <c r="E18" s="245">
        <v>723</v>
      </c>
      <c r="F18" s="147">
        <f t="shared" ref="F18:F19" si="4">E18-D18</f>
        <v>723</v>
      </c>
      <c r="G18" s="148">
        <v>1</v>
      </c>
    </row>
    <row r="19" spans="1:11" ht="38.25" customHeight="1">
      <c r="A19" s="80" t="s">
        <v>566</v>
      </c>
      <c r="B19" s="296" t="s">
        <v>565</v>
      </c>
      <c r="C19" s="245"/>
      <c r="D19" s="245"/>
      <c r="E19" s="245">
        <v>8872</v>
      </c>
      <c r="F19" s="147">
        <f t="shared" si="4"/>
        <v>8872</v>
      </c>
      <c r="G19" s="148">
        <v>2</v>
      </c>
    </row>
    <row r="20" spans="1:11" ht="52.5" customHeight="1">
      <c r="A20" s="28" t="s">
        <v>56</v>
      </c>
      <c r="B20" s="42">
        <v>2070</v>
      </c>
      <c r="C20" s="156">
        <f>'I. Фін результат'!C141+C7-(C8+C11+C12+C14+C15+C17)</f>
        <v>-148805</v>
      </c>
      <c r="D20" s="156">
        <f>'I. Фін результат'!D141+D7-(D8+D11+D12+D14+D15+D17)</f>
        <v>-144626</v>
      </c>
      <c r="E20" s="156">
        <f>'I. Фін результат'!E141+E7-(E8+E11+E12+E14+E15+E16)</f>
        <v>-151275</v>
      </c>
      <c r="F20" s="147">
        <f t="shared" si="2"/>
        <v>-6649</v>
      </c>
      <c r="G20" s="148">
        <f t="shared" si="3"/>
        <v>104.5973752990472</v>
      </c>
      <c r="H20" s="184"/>
    </row>
    <row r="21" spans="1:11" ht="42" customHeight="1">
      <c r="A21" s="372" t="s">
        <v>125</v>
      </c>
      <c r="B21" s="373"/>
      <c r="C21" s="373"/>
      <c r="D21" s="373"/>
      <c r="E21" s="373"/>
      <c r="F21" s="373"/>
      <c r="G21" s="374"/>
    </row>
    <row r="22" spans="1:11" ht="37.5">
      <c r="A22" s="80" t="s">
        <v>444</v>
      </c>
      <c r="B22" s="168">
        <v>2100</v>
      </c>
      <c r="C22" s="85">
        <v>0</v>
      </c>
      <c r="D22" s="321">
        <f>SUM(D23:D24)</f>
        <v>49</v>
      </c>
      <c r="E22" s="85">
        <v>0</v>
      </c>
      <c r="F22" s="147">
        <f t="shared" si="2"/>
        <v>-49</v>
      </c>
      <c r="G22" s="148">
        <f t="shared" si="3"/>
        <v>0</v>
      </c>
    </row>
    <row r="23" spans="1:11" ht="42.75" customHeight="1">
      <c r="A23" s="172" t="s">
        <v>251</v>
      </c>
      <c r="B23" s="168">
        <v>2101</v>
      </c>
      <c r="C23" s="85">
        <v>0</v>
      </c>
      <c r="D23" s="321">
        <f>D9</f>
        <v>11</v>
      </c>
      <c r="E23" s="85">
        <v>0</v>
      </c>
      <c r="F23" s="147">
        <f t="shared" si="2"/>
        <v>-11</v>
      </c>
      <c r="G23" s="148">
        <f t="shared" si="3"/>
        <v>0</v>
      </c>
    </row>
    <row r="24" spans="1:11" ht="93.75">
      <c r="A24" s="172" t="s">
        <v>252</v>
      </c>
      <c r="B24" s="168">
        <v>2102</v>
      </c>
      <c r="C24" s="85">
        <v>0</v>
      </c>
      <c r="D24" s="321">
        <f>D10</f>
        <v>38</v>
      </c>
      <c r="E24" s="85">
        <v>0</v>
      </c>
      <c r="F24" s="147">
        <f t="shared" si="2"/>
        <v>-38</v>
      </c>
      <c r="G24" s="148">
        <f t="shared" si="3"/>
        <v>0</v>
      </c>
    </row>
    <row r="25" spans="1:11" s="23" customFormat="1" ht="20.100000000000001" customHeight="1">
      <c r="A25" s="80" t="s">
        <v>127</v>
      </c>
      <c r="B25" s="81">
        <v>2110</v>
      </c>
      <c r="C25" s="85">
        <v>0</v>
      </c>
      <c r="D25" s="321">
        <f>'I. Фін результат'!D139</f>
        <v>16</v>
      </c>
      <c r="E25" s="85">
        <v>0</v>
      </c>
      <c r="F25" s="147">
        <f t="shared" si="2"/>
        <v>-16</v>
      </c>
      <c r="G25" s="148">
        <f t="shared" si="3"/>
        <v>0</v>
      </c>
    </row>
    <row r="26" spans="1:11" ht="56.25">
      <c r="A26" s="80" t="s">
        <v>228</v>
      </c>
      <c r="B26" s="81">
        <v>2120</v>
      </c>
      <c r="C26" s="82">
        <v>0</v>
      </c>
      <c r="D26" s="245">
        <v>0</v>
      </c>
      <c r="E26" s="82">
        <v>0</v>
      </c>
      <c r="F26" s="147">
        <f t="shared" si="2"/>
        <v>0</v>
      </c>
      <c r="G26" s="148">
        <v>0</v>
      </c>
    </row>
    <row r="27" spans="1:11" ht="56.25">
      <c r="A27" s="80" t="s">
        <v>229</v>
      </c>
      <c r="B27" s="81">
        <v>2130</v>
      </c>
      <c r="C27" s="245">
        <v>-293752</v>
      </c>
      <c r="D27" s="245">
        <v>-56294</v>
      </c>
      <c r="E27" s="245">
        <v>-355465</v>
      </c>
      <c r="F27" s="147">
        <f t="shared" si="2"/>
        <v>-299171</v>
      </c>
      <c r="G27" s="148">
        <f t="shared" si="3"/>
        <v>631.44384836749919</v>
      </c>
    </row>
    <row r="28" spans="1:11" s="161" customFormat="1" ht="56.25">
      <c r="A28" s="185" t="s">
        <v>196</v>
      </c>
      <c r="B28" s="186">
        <v>2140</v>
      </c>
      <c r="C28" s="156">
        <f>C32+C36+C39</f>
        <v>16362</v>
      </c>
      <c r="D28" s="156">
        <f t="shared" ref="D28" si="5">SUM(D29:D33,D36,D39)</f>
        <v>19221</v>
      </c>
      <c r="E28" s="156">
        <f>E32+E36+E39</f>
        <v>18363</v>
      </c>
      <c r="F28" s="147">
        <f t="shared" si="2"/>
        <v>-858</v>
      </c>
      <c r="G28" s="148">
        <f t="shared" si="3"/>
        <v>95.536132355236461</v>
      </c>
      <c r="H28" s="21"/>
    </row>
    <row r="29" spans="1:11" ht="20.100000000000001" customHeight="1">
      <c r="A29" s="80" t="s">
        <v>72</v>
      </c>
      <c r="B29" s="81">
        <v>2141</v>
      </c>
      <c r="C29" s="82">
        <v>0</v>
      </c>
      <c r="D29" s="245">
        <v>0</v>
      </c>
      <c r="E29" s="82">
        <v>0</v>
      </c>
      <c r="F29" s="147">
        <f t="shared" si="2"/>
        <v>0</v>
      </c>
      <c r="G29" s="148">
        <v>0</v>
      </c>
    </row>
    <row r="30" spans="1:11" ht="20.100000000000001" customHeight="1">
      <c r="A30" s="80" t="s">
        <v>87</v>
      </c>
      <c r="B30" s="81">
        <v>2142</v>
      </c>
      <c r="C30" s="82">
        <v>0</v>
      </c>
      <c r="D30" s="245">
        <v>0</v>
      </c>
      <c r="E30" s="82">
        <v>0</v>
      </c>
      <c r="F30" s="147">
        <f t="shared" si="2"/>
        <v>0</v>
      </c>
      <c r="G30" s="148">
        <v>0</v>
      </c>
    </row>
    <row r="31" spans="1:11" ht="20.100000000000001" customHeight="1">
      <c r="A31" s="80" t="s">
        <v>83</v>
      </c>
      <c r="B31" s="81">
        <v>2143</v>
      </c>
      <c r="C31" s="82">
        <v>0</v>
      </c>
      <c r="D31" s="245">
        <v>0</v>
      </c>
      <c r="E31" s="96">
        <v>0</v>
      </c>
      <c r="F31" s="147">
        <f t="shared" si="2"/>
        <v>0</v>
      </c>
      <c r="G31" s="148">
        <v>0</v>
      </c>
    </row>
    <row r="32" spans="1:11" ht="20.100000000000001" customHeight="1">
      <c r="A32" s="80" t="s">
        <v>70</v>
      </c>
      <c r="B32" s="81">
        <v>2144</v>
      </c>
      <c r="C32" s="246">
        <v>15141</v>
      </c>
      <c r="D32" s="276">
        <f>ROUND('I. Фін результат'!D162*18%,0)</f>
        <v>17685</v>
      </c>
      <c r="E32" s="96">
        <v>16827</v>
      </c>
      <c r="F32" s="147">
        <f t="shared" si="2"/>
        <v>-858</v>
      </c>
      <c r="G32" s="148">
        <f t="shared" si="3"/>
        <v>95.14843087362172</v>
      </c>
      <c r="H32" s="91"/>
      <c r="I32" s="91"/>
      <c r="J32" s="91"/>
      <c r="K32" s="91"/>
    </row>
    <row r="33" spans="1:11" s="23" customFormat="1" ht="20.100000000000001" customHeight="1">
      <c r="A33" s="80" t="s">
        <v>146</v>
      </c>
      <c r="B33" s="81">
        <v>2145</v>
      </c>
      <c r="C33" s="82">
        <v>0</v>
      </c>
      <c r="D33" s="245">
        <v>0</v>
      </c>
      <c r="E33" s="96">
        <v>0</v>
      </c>
      <c r="F33" s="147">
        <f t="shared" si="2"/>
        <v>0</v>
      </c>
      <c r="G33" s="148">
        <v>0</v>
      </c>
    </row>
    <row r="34" spans="1:11" ht="56.25">
      <c r="A34" s="80" t="s">
        <v>200</v>
      </c>
      <c r="B34" s="81" t="s">
        <v>181</v>
      </c>
      <c r="C34" s="82">
        <v>0</v>
      </c>
      <c r="D34" s="245">
        <v>0</v>
      </c>
      <c r="E34" s="96">
        <v>0</v>
      </c>
      <c r="F34" s="147">
        <f t="shared" si="2"/>
        <v>0</v>
      </c>
      <c r="G34" s="148">
        <v>0</v>
      </c>
    </row>
    <row r="35" spans="1:11" ht="20.100000000000001" customHeight="1">
      <c r="A35" s="80" t="s">
        <v>27</v>
      </c>
      <c r="B35" s="81" t="s">
        <v>182</v>
      </c>
      <c r="C35" s="82">
        <v>0</v>
      </c>
      <c r="D35" s="245">
        <v>0</v>
      </c>
      <c r="E35" s="96">
        <v>0</v>
      </c>
      <c r="F35" s="147">
        <f t="shared" si="2"/>
        <v>0</v>
      </c>
      <c r="G35" s="148">
        <v>0</v>
      </c>
    </row>
    <row r="36" spans="1:11" s="23" customFormat="1" ht="20.100000000000001" customHeight="1">
      <c r="A36" s="80" t="s">
        <v>98</v>
      </c>
      <c r="B36" s="81">
        <v>2146</v>
      </c>
      <c r="C36" s="246">
        <f>C37</f>
        <v>48</v>
      </c>
      <c r="D36" s="245">
        <v>60</v>
      </c>
      <c r="E36" s="96">
        <f>E37+E38</f>
        <v>132</v>
      </c>
      <c r="F36" s="147">
        <f t="shared" si="2"/>
        <v>72</v>
      </c>
      <c r="G36" s="148">
        <f t="shared" si="3"/>
        <v>220.00000000000003</v>
      </c>
    </row>
    <row r="37" spans="1:11" s="23" customFormat="1" ht="20.100000000000001" customHeight="1">
      <c r="A37" s="80" t="s">
        <v>508</v>
      </c>
      <c r="B37" s="81" t="s">
        <v>341</v>
      </c>
      <c r="C37" s="246">
        <v>48</v>
      </c>
      <c r="D37" s="245">
        <v>60</v>
      </c>
      <c r="E37" s="96">
        <v>132</v>
      </c>
      <c r="F37" s="147">
        <f t="shared" si="2"/>
        <v>72</v>
      </c>
      <c r="G37" s="148">
        <f t="shared" si="3"/>
        <v>220.00000000000003</v>
      </c>
    </row>
    <row r="38" spans="1:11" s="23" customFormat="1" ht="20.100000000000001" customHeight="1">
      <c r="A38" s="80" t="s">
        <v>337</v>
      </c>
      <c r="B38" s="81" t="s">
        <v>342</v>
      </c>
      <c r="C38" s="246"/>
      <c r="D38" s="245">
        <v>0</v>
      </c>
      <c r="E38" s="96"/>
      <c r="F38" s="147">
        <f t="shared" si="2"/>
        <v>0</v>
      </c>
      <c r="G38" s="148">
        <v>0</v>
      </c>
    </row>
    <row r="39" spans="1:11" ht="20.100000000000001" customHeight="1">
      <c r="A39" s="80" t="s">
        <v>73</v>
      </c>
      <c r="B39" s="81">
        <v>2147</v>
      </c>
      <c r="C39" s="246">
        <f>C40+C41+C42+C43</f>
        <v>1173</v>
      </c>
      <c r="D39" s="245">
        <v>1476</v>
      </c>
      <c r="E39" s="96">
        <f>E40+E41+E42+E43</f>
        <v>1404</v>
      </c>
      <c r="F39" s="147">
        <f t="shared" si="2"/>
        <v>-72</v>
      </c>
      <c r="G39" s="148">
        <f t="shared" si="3"/>
        <v>95.121951219512198</v>
      </c>
    </row>
    <row r="40" spans="1:11" ht="20.100000000000001" customHeight="1">
      <c r="A40" s="80" t="s">
        <v>338</v>
      </c>
      <c r="B40" s="81" t="s">
        <v>257</v>
      </c>
      <c r="C40" s="246">
        <v>1</v>
      </c>
      <c r="D40" s="245">
        <v>2</v>
      </c>
      <c r="E40" s="96">
        <v>1</v>
      </c>
      <c r="F40" s="147">
        <f t="shared" si="2"/>
        <v>-1</v>
      </c>
      <c r="G40" s="148">
        <f t="shared" si="3"/>
        <v>50</v>
      </c>
    </row>
    <row r="41" spans="1:11" ht="21.75" customHeight="1">
      <c r="A41" s="80" t="s">
        <v>339</v>
      </c>
      <c r="B41" s="81" t="s">
        <v>268</v>
      </c>
      <c r="C41" s="246"/>
      <c r="D41" s="245">
        <v>0</v>
      </c>
      <c r="E41" s="96">
        <v>0</v>
      </c>
      <c r="F41" s="147">
        <f t="shared" si="2"/>
        <v>0</v>
      </c>
      <c r="G41" s="148">
        <v>0</v>
      </c>
      <c r="I41" s="23"/>
    </row>
    <row r="42" spans="1:11" ht="38.25" customHeight="1">
      <c r="A42" s="80" t="s">
        <v>340</v>
      </c>
      <c r="B42" s="81" t="s">
        <v>343</v>
      </c>
      <c r="C42" s="246">
        <v>1</v>
      </c>
      <c r="D42" s="245">
        <v>0</v>
      </c>
      <c r="E42" s="96">
        <v>1</v>
      </c>
      <c r="F42" s="147">
        <f t="shared" si="2"/>
        <v>1</v>
      </c>
      <c r="G42" s="148" t="e">
        <f t="shared" si="3"/>
        <v>#DIV/0!</v>
      </c>
      <c r="I42" s="23"/>
      <c r="K42" s="23"/>
    </row>
    <row r="43" spans="1:11" ht="20.100000000000001" customHeight="1">
      <c r="A43" s="80" t="s">
        <v>256</v>
      </c>
      <c r="B43" s="81" t="s">
        <v>344</v>
      </c>
      <c r="C43" s="246">
        <v>1171</v>
      </c>
      <c r="D43" s="245">
        <f>ROUND('I. Фін результат'!D162*1.5%,0)</f>
        <v>1474</v>
      </c>
      <c r="E43" s="96">
        <v>1402</v>
      </c>
      <c r="F43" s="147">
        <f t="shared" si="2"/>
        <v>-72</v>
      </c>
      <c r="G43" s="148">
        <f t="shared" si="3"/>
        <v>95.115332428765271</v>
      </c>
    </row>
    <row r="44" spans="1:11" s="23" customFormat="1" ht="37.5">
      <c r="A44" s="80" t="s">
        <v>71</v>
      </c>
      <c r="B44" s="81">
        <v>2150</v>
      </c>
      <c r="C44" s="246">
        <v>16523</v>
      </c>
      <c r="D44" s="245">
        <f>'I. Фін результат'!D163</f>
        <v>21209</v>
      </c>
      <c r="E44" s="245">
        <f>'I. Фін результат'!E163</f>
        <v>18163</v>
      </c>
      <c r="F44" s="147">
        <f t="shared" si="2"/>
        <v>-3046</v>
      </c>
      <c r="G44" s="148">
        <f t="shared" si="3"/>
        <v>85.638172473949737</v>
      </c>
    </row>
    <row r="45" spans="1:11" s="23" customFormat="1" ht="20.100000000000001" customHeight="1">
      <c r="A45" s="185" t="s">
        <v>246</v>
      </c>
      <c r="B45" s="186">
        <v>2200</v>
      </c>
      <c r="C45" s="156">
        <f>C26+C27+C28+C44+C22+C25</f>
        <v>-260867</v>
      </c>
      <c r="D45" s="156">
        <f>D26+D27+D28+D44+D22+D25</f>
        <v>-15799</v>
      </c>
      <c r="E45" s="156">
        <f>E26+E27+E28+E44+E22+E25</f>
        <v>-318939</v>
      </c>
      <c r="F45" s="147">
        <f t="shared" si="2"/>
        <v>-303140</v>
      </c>
      <c r="G45" s="148">
        <f t="shared" si="3"/>
        <v>2018.7290334831318</v>
      </c>
      <c r="H45" s="21"/>
    </row>
    <row r="46" spans="1:11" s="23" customFormat="1" ht="7.5" customHeight="1">
      <c r="A46" s="71"/>
      <c r="B46" s="72"/>
      <c r="C46" s="187"/>
      <c r="D46" s="73"/>
      <c r="E46" s="73"/>
      <c r="F46" s="73"/>
      <c r="G46" s="73"/>
    </row>
    <row r="47" spans="1:11" s="23" customFormat="1" ht="20.100000000000001" customHeight="1">
      <c r="A47" s="71"/>
      <c r="B47" s="72"/>
      <c r="C47" s="187"/>
      <c r="D47" s="73"/>
      <c r="E47" s="73"/>
      <c r="F47" s="73"/>
      <c r="G47" s="73" t="s">
        <v>442</v>
      </c>
      <c r="H47" s="91"/>
      <c r="I47" s="91"/>
      <c r="J47" s="91"/>
      <c r="K47" s="91"/>
    </row>
    <row r="48" spans="1:11" s="237" customFormat="1" ht="20.25" customHeight="1" thickBot="1">
      <c r="A48" s="63" t="s">
        <v>510</v>
      </c>
      <c r="B48" s="64"/>
      <c r="C48" s="242"/>
      <c r="D48" s="65"/>
      <c r="E48" s="347" t="s">
        <v>604</v>
      </c>
      <c r="F48" s="347"/>
      <c r="G48" s="347"/>
    </row>
    <row r="49" spans="1:11" s="1" customFormat="1" ht="21" customHeight="1">
      <c r="A49" s="235" t="s">
        <v>66</v>
      </c>
      <c r="B49" s="51"/>
      <c r="C49" s="105" t="s">
        <v>501</v>
      </c>
      <c r="D49" s="66"/>
      <c r="E49" s="344" t="s">
        <v>607</v>
      </c>
      <c r="F49" s="344"/>
      <c r="G49" s="344"/>
      <c r="K49"/>
    </row>
    <row r="50" spans="1:11" s="24" customFormat="1">
      <c r="A50" s="30"/>
      <c r="D50" s="21"/>
      <c r="E50" s="21"/>
      <c r="F50" s="21"/>
      <c r="G50" s="21"/>
      <c r="H50" s="21"/>
      <c r="I50" s="21"/>
    </row>
    <row r="51" spans="1:11" s="24" customFormat="1">
      <c r="A51" s="30"/>
      <c r="D51" s="21"/>
      <c r="E51" s="21"/>
      <c r="F51" s="21"/>
      <c r="G51" s="21"/>
      <c r="H51" s="21"/>
      <c r="I51" s="21"/>
    </row>
    <row r="52" spans="1:11" s="24" customFormat="1">
      <c r="A52" s="30"/>
      <c r="D52" s="21"/>
      <c r="E52" s="21"/>
      <c r="F52" s="21"/>
      <c r="G52" s="21"/>
      <c r="H52" s="21"/>
      <c r="I52" s="21"/>
    </row>
    <row r="53" spans="1:11" s="24" customFormat="1">
      <c r="A53" s="30"/>
      <c r="D53" s="21"/>
      <c r="E53" s="21"/>
      <c r="F53" s="21"/>
      <c r="G53" s="21"/>
      <c r="H53" s="21"/>
      <c r="I53" s="21"/>
    </row>
    <row r="54" spans="1:11" s="24" customFormat="1">
      <c r="A54" s="30"/>
      <c r="D54" s="21"/>
      <c r="E54" s="21"/>
      <c r="F54" s="21"/>
      <c r="G54" s="21"/>
      <c r="H54" s="21"/>
      <c r="I54" s="21"/>
    </row>
    <row r="55" spans="1:11" s="24" customFormat="1">
      <c r="A55" s="30"/>
      <c r="D55" s="21"/>
      <c r="E55" s="21"/>
      <c r="F55" s="21"/>
      <c r="G55" s="21"/>
      <c r="H55" s="21"/>
      <c r="I55" s="21"/>
    </row>
    <row r="56" spans="1:11" s="24" customFormat="1">
      <c r="A56" s="30"/>
      <c r="D56" s="21"/>
      <c r="E56" s="21"/>
      <c r="F56" s="21"/>
      <c r="G56" s="21"/>
      <c r="H56" s="21"/>
      <c r="I56" s="21"/>
    </row>
    <row r="57" spans="1:11" s="24" customFormat="1">
      <c r="A57" s="30"/>
      <c r="D57" s="21"/>
      <c r="E57" s="21"/>
      <c r="F57" s="21"/>
      <c r="G57" s="21"/>
      <c r="H57" s="21"/>
      <c r="I57" s="21"/>
    </row>
    <row r="58" spans="1:11" s="24" customFormat="1">
      <c r="A58" s="30"/>
      <c r="D58" s="21"/>
      <c r="E58" s="21"/>
      <c r="F58" s="21"/>
      <c r="G58" s="21"/>
      <c r="H58" s="21"/>
      <c r="I58" s="21"/>
    </row>
    <row r="59" spans="1:11" s="24" customFormat="1">
      <c r="A59" s="30"/>
      <c r="D59" s="21"/>
      <c r="E59" s="21"/>
      <c r="F59" s="21"/>
      <c r="G59" s="21"/>
      <c r="H59" s="21"/>
      <c r="I59" s="21"/>
    </row>
    <row r="60" spans="1:11" s="24" customFormat="1">
      <c r="A60" s="30"/>
      <c r="D60" s="21"/>
      <c r="E60" s="21"/>
      <c r="F60" s="21"/>
      <c r="G60" s="21"/>
      <c r="H60" s="21"/>
      <c r="I60" s="21"/>
    </row>
    <row r="61" spans="1:11" s="24" customFormat="1">
      <c r="A61" s="30"/>
      <c r="D61" s="21"/>
      <c r="E61" s="21"/>
      <c r="F61" s="21"/>
      <c r="G61" s="21"/>
      <c r="H61" s="21"/>
      <c r="I61" s="21"/>
    </row>
    <row r="62" spans="1:11" s="24" customFormat="1">
      <c r="A62" s="30"/>
      <c r="D62" s="21"/>
      <c r="E62" s="21"/>
      <c r="F62" s="21"/>
      <c r="G62" s="21"/>
      <c r="H62" s="21"/>
      <c r="I62" s="21"/>
    </row>
    <row r="63" spans="1:11" s="24" customFormat="1">
      <c r="A63" s="30"/>
      <c r="D63" s="21"/>
      <c r="E63" s="21"/>
      <c r="F63" s="21"/>
      <c r="G63" s="21"/>
      <c r="H63" s="21"/>
      <c r="I63" s="21"/>
    </row>
    <row r="64" spans="1:11" s="24" customFormat="1">
      <c r="A64" s="30"/>
      <c r="D64" s="21"/>
      <c r="E64" s="21"/>
      <c r="F64" s="21"/>
      <c r="G64" s="21"/>
      <c r="H64" s="21"/>
      <c r="I64" s="21"/>
    </row>
    <row r="65" spans="1:9" s="24" customFormat="1">
      <c r="A65" s="30"/>
      <c r="D65" s="21"/>
      <c r="E65" s="21"/>
      <c r="F65" s="21"/>
      <c r="G65" s="21"/>
      <c r="H65" s="21"/>
      <c r="I65" s="21"/>
    </row>
    <row r="66" spans="1:9" s="24" customFormat="1">
      <c r="A66" s="30"/>
      <c r="D66" s="21"/>
      <c r="E66" s="21"/>
      <c r="F66" s="21"/>
      <c r="G66" s="21"/>
      <c r="H66" s="21"/>
      <c r="I66" s="21"/>
    </row>
    <row r="67" spans="1:9" s="24" customFormat="1">
      <c r="A67" s="30"/>
      <c r="D67" s="21"/>
      <c r="E67" s="21"/>
      <c r="F67" s="21"/>
      <c r="G67" s="21"/>
      <c r="H67" s="21"/>
      <c r="I67" s="21"/>
    </row>
    <row r="68" spans="1:9" s="24" customFormat="1">
      <c r="A68" s="30"/>
      <c r="D68" s="21"/>
      <c r="E68" s="21"/>
      <c r="F68" s="21"/>
      <c r="G68" s="21"/>
      <c r="H68" s="21"/>
      <c r="I68" s="21"/>
    </row>
    <row r="69" spans="1:9" s="24" customFormat="1">
      <c r="A69" s="30"/>
      <c r="D69" s="21"/>
      <c r="E69" s="21"/>
      <c r="F69" s="21"/>
      <c r="G69" s="21"/>
      <c r="H69" s="21"/>
      <c r="I69" s="21"/>
    </row>
    <row r="70" spans="1:9" s="24" customFormat="1">
      <c r="A70" s="30"/>
      <c r="D70" s="21"/>
      <c r="E70" s="21"/>
      <c r="F70" s="21"/>
      <c r="G70" s="21"/>
      <c r="H70" s="21"/>
      <c r="I70" s="21"/>
    </row>
    <row r="71" spans="1:9" s="24" customFormat="1">
      <c r="A71" s="30"/>
      <c r="D71" s="21"/>
      <c r="E71" s="21"/>
      <c r="F71" s="21"/>
      <c r="G71" s="21"/>
      <c r="H71" s="21"/>
      <c r="I71" s="21"/>
    </row>
    <row r="72" spans="1:9" s="24" customFormat="1">
      <c r="A72" s="30"/>
      <c r="D72" s="21"/>
      <c r="E72" s="21"/>
      <c r="F72" s="21"/>
      <c r="G72" s="21"/>
      <c r="H72" s="21"/>
      <c r="I72" s="21"/>
    </row>
    <row r="73" spans="1:9" s="24" customFormat="1">
      <c r="A73" s="30"/>
      <c r="D73" s="21"/>
      <c r="E73" s="21"/>
      <c r="F73" s="21"/>
      <c r="G73" s="21"/>
      <c r="H73" s="21"/>
      <c r="I73" s="21"/>
    </row>
    <row r="74" spans="1:9" s="24" customFormat="1">
      <c r="A74" s="30"/>
      <c r="D74" s="21"/>
      <c r="E74" s="21"/>
      <c r="F74" s="21"/>
      <c r="G74" s="21"/>
      <c r="H74" s="21"/>
      <c r="I74" s="21"/>
    </row>
    <row r="75" spans="1:9" s="24" customFormat="1">
      <c r="A75" s="30"/>
      <c r="D75" s="21"/>
      <c r="E75" s="21"/>
      <c r="F75" s="21"/>
      <c r="G75" s="21"/>
      <c r="H75" s="21"/>
      <c r="I75" s="21"/>
    </row>
    <row r="76" spans="1:9" s="24" customFormat="1">
      <c r="A76" s="30"/>
      <c r="D76" s="21"/>
      <c r="E76" s="21"/>
      <c r="F76" s="21"/>
      <c r="G76" s="21"/>
      <c r="H76" s="21"/>
      <c r="I76" s="21"/>
    </row>
    <row r="77" spans="1:9" s="24" customFormat="1">
      <c r="A77" s="30"/>
      <c r="D77" s="21"/>
      <c r="E77" s="21"/>
      <c r="F77" s="21"/>
      <c r="G77" s="21"/>
      <c r="H77" s="21"/>
      <c r="I77" s="21"/>
    </row>
    <row r="78" spans="1:9" s="24" customFormat="1">
      <c r="A78" s="30"/>
      <c r="D78" s="21"/>
      <c r="E78" s="21"/>
      <c r="F78" s="21"/>
      <c r="G78" s="21"/>
      <c r="H78" s="21"/>
      <c r="I78" s="21"/>
    </row>
    <row r="79" spans="1:9" s="24" customFormat="1">
      <c r="A79" s="30"/>
      <c r="D79" s="21"/>
      <c r="E79" s="21"/>
      <c r="F79" s="21"/>
      <c r="G79" s="21"/>
      <c r="H79" s="21"/>
      <c r="I79" s="21"/>
    </row>
    <row r="80" spans="1:9" s="24" customFormat="1">
      <c r="A80" s="30"/>
      <c r="D80" s="21"/>
      <c r="E80" s="21"/>
      <c r="F80" s="21"/>
      <c r="G80" s="21"/>
      <c r="H80" s="21"/>
      <c r="I80" s="21"/>
    </row>
    <row r="81" spans="1:9" s="24" customFormat="1">
      <c r="A81" s="30"/>
      <c r="D81" s="21"/>
      <c r="E81" s="21"/>
      <c r="F81" s="21"/>
      <c r="G81" s="21"/>
      <c r="H81" s="21"/>
      <c r="I81" s="21"/>
    </row>
    <row r="82" spans="1:9" s="24" customFormat="1">
      <c r="A82" s="30"/>
      <c r="D82" s="21"/>
      <c r="E82" s="21"/>
      <c r="F82" s="21"/>
      <c r="G82" s="21"/>
      <c r="H82" s="21"/>
      <c r="I82" s="21"/>
    </row>
    <row r="83" spans="1:9" s="24" customFormat="1">
      <c r="A83" s="30"/>
      <c r="D83" s="21"/>
      <c r="E83" s="21"/>
      <c r="F83" s="21"/>
      <c r="G83" s="21"/>
      <c r="H83" s="21"/>
      <c r="I83" s="21"/>
    </row>
    <row r="84" spans="1:9" s="24" customFormat="1">
      <c r="A84" s="30"/>
      <c r="D84" s="21"/>
      <c r="E84" s="21"/>
      <c r="F84" s="21"/>
      <c r="G84" s="21"/>
      <c r="H84" s="21"/>
      <c r="I84" s="21"/>
    </row>
    <row r="85" spans="1:9" s="24" customFormat="1">
      <c r="A85" s="30"/>
      <c r="D85" s="21"/>
      <c r="E85" s="21"/>
      <c r="F85" s="21"/>
      <c r="G85" s="21"/>
      <c r="H85" s="21"/>
      <c r="I85" s="21"/>
    </row>
    <row r="86" spans="1:9" s="24" customFormat="1">
      <c r="A86" s="30"/>
      <c r="D86" s="21"/>
      <c r="E86" s="21"/>
      <c r="F86" s="21"/>
      <c r="G86" s="21"/>
      <c r="H86" s="21"/>
      <c r="I86" s="21"/>
    </row>
    <row r="87" spans="1:9" s="24" customFormat="1">
      <c r="A87" s="30"/>
      <c r="D87" s="21"/>
      <c r="E87" s="21"/>
      <c r="F87" s="21"/>
      <c r="G87" s="21"/>
      <c r="H87" s="21"/>
      <c r="I87" s="21"/>
    </row>
    <row r="88" spans="1:9" s="24" customFormat="1">
      <c r="A88" s="30"/>
      <c r="D88" s="21"/>
      <c r="E88" s="21"/>
      <c r="F88" s="21"/>
      <c r="G88" s="21"/>
      <c r="H88" s="21"/>
      <c r="I88" s="21"/>
    </row>
    <row r="89" spans="1:9" s="24" customFormat="1">
      <c r="A89" s="30"/>
      <c r="D89" s="21"/>
      <c r="E89" s="21"/>
      <c r="F89" s="21"/>
      <c r="G89" s="21"/>
      <c r="H89" s="21"/>
      <c r="I89" s="21"/>
    </row>
    <row r="90" spans="1:9" s="24" customFormat="1">
      <c r="A90" s="30"/>
      <c r="D90" s="21"/>
      <c r="E90" s="21"/>
      <c r="F90" s="21"/>
      <c r="G90" s="21"/>
      <c r="H90" s="21"/>
      <c r="I90" s="21"/>
    </row>
    <row r="91" spans="1:9" s="24" customFormat="1">
      <c r="A91" s="30"/>
      <c r="D91" s="21"/>
      <c r="E91" s="21"/>
      <c r="F91" s="21"/>
      <c r="G91" s="21"/>
      <c r="H91" s="21"/>
      <c r="I91" s="21"/>
    </row>
    <row r="92" spans="1:9" s="24" customFormat="1">
      <c r="A92" s="30"/>
      <c r="D92" s="21"/>
      <c r="E92" s="21"/>
      <c r="F92" s="21"/>
      <c r="G92" s="21"/>
      <c r="H92" s="21"/>
      <c r="I92" s="21"/>
    </row>
    <row r="93" spans="1:9" s="24" customFormat="1">
      <c r="A93" s="30"/>
      <c r="D93" s="21"/>
      <c r="E93" s="21"/>
      <c r="F93" s="21"/>
      <c r="G93" s="21"/>
      <c r="H93" s="21"/>
      <c r="I93" s="21"/>
    </row>
    <row r="94" spans="1:9" s="24" customFormat="1">
      <c r="A94" s="30"/>
      <c r="D94" s="21"/>
      <c r="E94" s="21"/>
      <c r="F94" s="21"/>
      <c r="G94" s="21"/>
      <c r="H94" s="21"/>
      <c r="I94" s="21"/>
    </row>
    <row r="95" spans="1:9" s="24" customFormat="1">
      <c r="A95" s="30"/>
      <c r="D95" s="21"/>
      <c r="E95" s="21"/>
      <c r="F95" s="21"/>
      <c r="G95" s="21"/>
      <c r="H95" s="21"/>
      <c r="I95" s="21"/>
    </row>
    <row r="96" spans="1:9" s="24" customFormat="1">
      <c r="A96" s="30"/>
      <c r="D96" s="21"/>
      <c r="E96" s="21"/>
      <c r="F96" s="21"/>
      <c r="G96" s="21"/>
      <c r="H96" s="21"/>
      <c r="I96" s="21"/>
    </row>
    <row r="97" spans="1:9" s="24" customFormat="1">
      <c r="A97" s="30"/>
      <c r="D97" s="21"/>
      <c r="E97" s="21"/>
      <c r="F97" s="21"/>
      <c r="G97" s="21"/>
      <c r="H97" s="21"/>
      <c r="I97" s="21"/>
    </row>
    <row r="98" spans="1:9" s="24" customFormat="1">
      <c r="A98" s="30"/>
      <c r="D98" s="21"/>
      <c r="E98" s="21"/>
      <c r="F98" s="21"/>
      <c r="G98" s="21"/>
      <c r="H98" s="21"/>
      <c r="I98" s="21"/>
    </row>
    <row r="99" spans="1:9" s="24" customFormat="1">
      <c r="A99" s="30"/>
      <c r="D99" s="21"/>
      <c r="E99" s="21"/>
      <c r="F99" s="21"/>
      <c r="G99" s="21"/>
      <c r="H99" s="21"/>
      <c r="I99" s="21"/>
    </row>
    <row r="100" spans="1:9" s="24" customFormat="1">
      <c r="A100" s="30"/>
      <c r="D100" s="21"/>
      <c r="E100" s="21"/>
      <c r="F100" s="21"/>
      <c r="G100" s="21"/>
      <c r="H100" s="21"/>
      <c r="I100" s="21"/>
    </row>
    <row r="101" spans="1:9" s="24" customFormat="1">
      <c r="A101" s="30"/>
      <c r="D101" s="21"/>
      <c r="E101" s="21"/>
      <c r="F101" s="21"/>
      <c r="G101" s="21"/>
      <c r="H101" s="21"/>
      <c r="I101" s="21"/>
    </row>
    <row r="102" spans="1:9" s="24" customFormat="1">
      <c r="A102" s="30"/>
      <c r="D102" s="21"/>
      <c r="E102" s="21"/>
      <c r="F102" s="21"/>
      <c r="G102" s="21"/>
      <c r="H102" s="21"/>
      <c r="I102" s="21"/>
    </row>
    <row r="103" spans="1:9" s="24" customFormat="1">
      <c r="A103" s="30"/>
      <c r="D103" s="21"/>
      <c r="E103" s="21"/>
      <c r="F103" s="21"/>
      <c r="G103" s="21"/>
      <c r="H103" s="21"/>
      <c r="I103" s="21"/>
    </row>
    <row r="104" spans="1:9" s="24" customFormat="1">
      <c r="A104" s="30"/>
      <c r="D104" s="21"/>
      <c r="E104" s="21"/>
      <c r="F104" s="21"/>
      <c r="G104" s="21"/>
      <c r="H104" s="21"/>
      <c r="I104" s="21"/>
    </row>
    <row r="105" spans="1:9" s="24" customFormat="1">
      <c r="A105" s="30"/>
      <c r="D105" s="21"/>
      <c r="E105" s="21"/>
      <c r="F105" s="21"/>
      <c r="G105" s="21"/>
      <c r="H105" s="21"/>
      <c r="I105" s="21"/>
    </row>
    <row r="106" spans="1:9" s="24" customFormat="1">
      <c r="A106" s="30"/>
      <c r="D106" s="21"/>
      <c r="E106" s="21"/>
      <c r="F106" s="21"/>
      <c r="G106" s="21"/>
      <c r="H106" s="21"/>
      <c r="I106" s="21"/>
    </row>
    <row r="107" spans="1:9" s="24" customFormat="1">
      <c r="A107" s="30"/>
      <c r="D107" s="21"/>
      <c r="E107" s="21"/>
      <c r="F107" s="21"/>
      <c r="G107" s="21"/>
      <c r="H107" s="21"/>
      <c r="I107" s="21"/>
    </row>
    <row r="108" spans="1:9" s="24" customFormat="1">
      <c r="A108" s="30"/>
      <c r="D108" s="21"/>
      <c r="E108" s="21"/>
      <c r="F108" s="21"/>
      <c r="G108" s="21"/>
      <c r="H108" s="21"/>
      <c r="I108" s="21"/>
    </row>
    <row r="109" spans="1:9" s="24" customFormat="1">
      <c r="A109" s="30"/>
      <c r="D109" s="21"/>
      <c r="E109" s="21"/>
      <c r="F109" s="21"/>
      <c r="G109" s="21"/>
      <c r="H109" s="21"/>
      <c r="I109" s="21"/>
    </row>
    <row r="110" spans="1:9" s="24" customFormat="1">
      <c r="A110" s="30"/>
      <c r="D110" s="21"/>
      <c r="E110" s="21"/>
      <c r="F110" s="21"/>
      <c r="G110" s="21"/>
      <c r="H110" s="21"/>
      <c r="I110" s="21"/>
    </row>
    <row r="111" spans="1:9" s="24" customFormat="1">
      <c r="A111" s="30"/>
      <c r="D111" s="21"/>
      <c r="E111" s="21"/>
      <c r="F111" s="21"/>
      <c r="G111" s="21"/>
      <c r="H111" s="21"/>
      <c r="I111" s="21"/>
    </row>
    <row r="112" spans="1:9" s="24" customFormat="1">
      <c r="A112" s="30"/>
      <c r="D112" s="21"/>
      <c r="E112" s="21"/>
      <c r="F112" s="21"/>
      <c r="G112" s="21"/>
      <c r="H112" s="21"/>
      <c r="I112" s="21"/>
    </row>
    <row r="113" spans="1:9" s="24" customFormat="1">
      <c r="A113" s="30"/>
      <c r="D113" s="21"/>
      <c r="E113" s="21"/>
      <c r="F113" s="21"/>
      <c r="G113" s="21"/>
      <c r="H113" s="21"/>
      <c r="I113" s="21"/>
    </row>
    <row r="114" spans="1:9" s="24" customFormat="1">
      <c r="A114" s="30"/>
      <c r="D114" s="21"/>
      <c r="E114" s="21"/>
      <c r="F114" s="21"/>
      <c r="G114" s="21"/>
      <c r="H114" s="21"/>
      <c r="I114" s="21"/>
    </row>
    <row r="115" spans="1:9" s="24" customFormat="1">
      <c r="A115" s="30"/>
      <c r="D115" s="21"/>
      <c r="E115" s="21"/>
      <c r="F115" s="21"/>
      <c r="G115" s="21"/>
      <c r="H115" s="21"/>
      <c r="I115" s="21"/>
    </row>
    <row r="116" spans="1:9" s="24" customFormat="1">
      <c r="A116" s="30"/>
      <c r="D116" s="21"/>
      <c r="E116" s="21"/>
      <c r="F116" s="21"/>
      <c r="G116" s="21"/>
      <c r="H116" s="21"/>
      <c r="I116" s="21"/>
    </row>
    <row r="117" spans="1:9" s="24" customFormat="1">
      <c r="A117" s="30"/>
      <c r="D117" s="21"/>
      <c r="E117" s="21"/>
      <c r="F117" s="21"/>
      <c r="G117" s="21"/>
      <c r="H117" s="21"/>
      <c r="I117" s="21"/>
    </row>
    <row r="118" spans="1:9" s="24" customFormat="1">
      <c r="A118" s="30"/>
      <c r="D118" s="21"/>
      <c r="E118" s="21"/>
      <c r="F118" s="21"/>
      <c r="G118" s="21"/>
      <c r="H118" s="21"/>
      <c r="I118" s="21"/>
    </row>
    <row r="119" spans="1:9" s="24" customFormat="1">
      <c r="A119" s="30"/>
      <c r="D119" s="21"/>
      <c r="E119" s="21"/>
      <c r="F119" s="21"/>
      <c r="G119" s="21"/>
      <c r="H119" s="21"/>
      <c r="I119" s="21"/>
    </row>
    <row r="120" spans="1:9" s="24" customFormat="1">
      <c r="A120" s="30"/>
      <c r="D120" s="21"/>
      <c r="E120" s="21"/>
      <c r="F120" s="21"/>
      <c r="G120" s="21"/>
      <c r="H120" s="21"/>
      <c r="I120" s="21"/>
    </row>
    <row r="121" spans="1:9" s="24" customFormat="1">
      <c r="A121" s="30"/>
      <c r="D121" s="21"/>
      <c r="E121" s="21"/>
      <c r="F121" s="21"/>
      <c r="G121" s="21"/>
      <c r="H121" s="21"/>
      <c r="I121" s="21"/>
    </row>
    <row r="122" spans="1:9" s="24" customFormat="1">
      <c r="A122" s="30"/>
      <c r="D122" s="21"/>
      <c r="E122" s="21"/>
      <c r="F122" s="21"/>
      <c r="G122" s="21"/>
      <c r="H122" s="21"/>
      <c r="I122" s="21"/>
    </row>
    <row r="123" spans="1:9" s="24" customFormat="1">
      <c r="A123" s="30"/>
      <c r="D123" s="21"/>
      <c r="E123" s="21"/>
      <c r="F123" s="21"/>
      <c r="G123" s="21"/>
      <c r="H123" s="21"/>
      <c r="I123" s="21"/>
    </row>
    <row r="124" spans="1:9" s="24" customFormat="1">
      <c r="A124" s="30"/>
      <c r="D124" s="21"/>
      <c r="E124" s="21"/>
      <c r="F124" s="21"/>
      <c r="G124" s="21"/>
      <c r="H124" s="21"/>
      <c r="I124" s="21"/>
    </row>
    <row r="125" spans="1:9" s="24" customFormat="1">
      <c r="A125" s="30"/>
      <c r="D125" s="21"/>
      <c r="E125" s="21"/>
      <c r="F125" s="21"/>
      <c r="G125" s="21"/>
      <c r="H125" s="21"/>
      <c r="I125" s="21"/>
    </row>
    <row r="126" spans="1:9" s="24" customFormat="1">
      <c r="A126" s="30"/>
      <c r="D126" s="21"/>
      <c r="E126" s="21"/>
      <c r="F126" s="21"/>
      <c r="G126" s="21"/>
      <c r="H126" s="21"/>
      <c r="I126" s="21"/>
    </row>
    <row r="127" spans="1:9" s="24" customFormat="1">
      <c r="A127" s="30"/>
      <c r="D127" s="21"/>
      <c r="E127" s="21"/>
      <c r="F127" s="21"/>
      <c r="G127" s="21"/>
      <c r="H127" s="21"/>
      <c r="I127" s="21"/>
    </row>
    <row r="128" spans="1:9" s="24" customFormat="1">
      <c r="A128" s="30"/>
      <c r="D128" s="21"/>
      <c r="E128" s="21"/>
      <c r="F128" s="21"/>
      <c r="G128" s="21"/>
      <c r="H128" s="21"/>
      <c r="I128" s="21"/>
    </row>
    <row r="129" spans="1:9" s="24" customFormat="1">
      <c r="A129" s="30"/>
      <c r="D129" s="21"/>
      <c r="E129" s="21"/>
      <c r="F129" s="21"/>
      <c r="G129" s="21"/>
      <c r="H129" s="21"/>
      <c r="I129" s="21"/>
    </row>
    <row r="130" spans="1:9" s="24" customFormat="1">
      <c r="A130" s="30"/>
      <c r="D130" s="21"/>
      <c r="E130" s="21"/>
      <c r="F130" s="21"/>
      <c r="G130" s="21"/>
      <c r="H130" s="21"/>
      <c r="I130" s="21"/>
    </row>
    <row r="131" spans="1:9" s="24" customFormat="1">
      <c r="A131" s="30"/>
      <c r="D131" s="21"/>
      <c r="E131" s="21"/>
      <c r="F131" s="21"/>
      <c r="G131" s="21"/>
      <c r="H131" s="21"/>
      <c r="I131" s="21"/>
    </row>
    <row r="132" spans="1:9" s="24" customFormat="1">
      <c r="A132" s="30"/>
      <c r="D132" s="21"/>
      <c r="E132" s="21"/>
      <c r="F132" s="21"/>
      <c r="G132" s="21"/>
      <c r="H132" s="21"/>
      <c r="I132" s="21"/>
    </row>
    <row r="133" spans="1:9" s="24" customFormat="1">
      <c r="A133" s="30"/>
      <c r="D133" s="21"/>
      <c r="E133" s="21"/>
      <c r="F133" s="21"/>
      <c r="G133" s="21"/>
      <c r="H133" s="21"/>
      <c r="I133" s="21"/>
    </row>
    <row r="134" spans="1:9" s="24" customFormat="1">
      <c r="A134" s="30"/>
      <c r="D134" s="21"/>
      <c r="E134" s="21"/>
      <c r="F134" s="21"/>
      <c r="G134" s="21"/>
      <c r="H134" s="21"/>
      <c r="I134" s="21"/>
    </row>
    <row r="135" spans="1:9" s="24" customFormat="1">
      <c r="A135" s="30"/>
      <c r="D135" s="21"/>
      <c r="E135" s="21"/>
      <c r="F135" s="21"/>
      <c r="G135" s="21"/>
      <c r="H135" s="21"/>
      <c r="I135" s="21"/>
    </row>
    <row r="136" spans="1:9" s="24" customFormat="1">
      <c r="A136" s="30"/>
      <c r="D136" s="21"/>
      <c r="E136" s="21"/>
      <c r="F136" s="21"/>
      <c r="G136" s="21"/>
      <c r="H136" s="21"/>
      <c r="I136" s="21"/>
    </row>
    <row r="137" spans="1:9" s="24" customFormat="1">
      <c r="A137" s="30"/>
      <c r="D137" s="21"/>
      <c r="E137" s="21"/>
      <c r="F137" s="21"/>
      <c r="G137" s="21"/>
      <c r="H137" s="21"/>
      <c r="I137" s="21"/>
    </row>
    <row r="138" spans="1:9" s="24" customFormat="1">
      <c r="A138" s="30"/>
      <c r="D138" s="21"/>
      <c r="E138" s="21"/>
      <c r="F138" s="21"/>
      <c r="G138" s="21"/>
      <c r="H138" s="21"/>
      <c r="I138" s="21"/>
    </row>
    <row r="139" spans="1:9" s="24" customFormat="1">
      <c r="A139" s="30"/>
      <c r="D139" s="21"/>
      <c r="E139" s="21"/>
      <c r="F139" s="21"/>
      <c r="G139" s="21"/>
      <c r="H139" s="21"/>
      <c r="I139" s="21"/>
    </row>
    <row r="140" spans="1:9" s="24" customFormat="1">
      <c r="A140" s="30"/>
      <c r="D140" s="21"/>
      <c r="E140" s="21"/>
      <c r="F140" s="21"/>
      <c r="G140" s="21"/>
      <c r="H140" s="21"/>
      <c r="I140" s="21"/>
    </row>
    <row r="141" spans="1:9" s="24" customFormat="1">
      <c r="A141" s="30"/>
      <c r="D141" s="21"/>
      <c r="E141" s="21"/>
      <c r="F141" s="21"/>
      <c r="G141" s="21"/>
      <c r="H141" s="21"/>
      <c r="I141" s="21"/>
    </row>
    <row r="142" spans="1:9" s="24" customFormat="1">
      <c r="A142" s="30"/>
      <c r="D142" s="21"/>
      <c r="E142" s="21"/>
      <c r="F142" s="21"/>
      <c r="G142" s="21"/>
      <c r="H142" s="21"/>
      <c r="I142" s="21"/>
    </row>
    <row r="143" spans="1:9" s="24" customFormat="1">
      <c r="A143" s="30"/>
      <c r="D143" s="21"/>
      <c r="E143" s="21"/>
      <c r="F143" s="21"/>
      <c r="G143" s="21"/>
      <c r="H143" s="21"/>
      <c r="I143" s="21"/>
    </row>
    <row r="144" spans="1:9" s="24" customFormat="1">
      <c r="A144" s="30"/>
      <c r="D144" s="21"/>
      <c r="E144" s="21"/>
      <c r="F144" s="21"/>
      <c r="G144" s="21"/>
      <c r="H144" s="21"/>
      <c r="I144" s="21"/>
    </row>
    <row r="145" spans="1:9" s="24" customFormat="1">
      <c r="A145" s="30"/>
      <c r="D145" s="21"/>
      <c r="E145" s="21"/>
      <c r="F145" s="21"/>
      <c r="G145" s="21"/>
      <c r="H145" s="21"/>
      <c r="I145" s="21"/>
    </row>
    <row r="146" spans="1:9" s="24" customFormat="1">
      <c r="A146" s="30"/>
      <c r="D146" s="21"/>
      <c r="E146" s="21"/>
      <c r="F146" s="21"/>
      <c r="G146" s="21"/>
      <c r="H146" s="21"/>
      <c r="I146" s="21"/>
    </row>
    <row r="147" spans="1:9" s="24" customFormat="1">
      <c r="A147" s="30"/>
      <c r="D147" s="21"/>
      <c r="E147" s="21"/>
      <c r="F147" s="21"/>
      <c r="G147" s="21"/>
      <c r="H147" s="21"/>
      <c r="I147" s="21"/>
    </row>
    <row r="148" spans="1:9" s="24" customFormat="1">
      <c r="A148" s="30"/>
      <c r="D148" s="21"/>
      <c r="E148" s="21"/>
      <c r="F148" s="21"/>
      <c r="G148" s="21"/>
      <c r="H148" s="21"/>
      <c r="I148" s="21"/>
    </row>
    <row r="149" spans="1:9" s="24" customFormat="1">
      <c r="A149" s="30"/>
      <c r="D149" s="21"/>
      <c r="E149" s="21"/>
      <c r="F149" s="21"/>
      <c r="G149" s="21"/>
      <c r="H149" s="21"/>
      <c r="I149" s="21"/>
    </row>
    <row r="150" spans="1:9" s="24" customFormat="1">
      <c r="A150" s="30"/>
      <c r="D150" s="21"/>
      <c r="E150" s="21"/>
      <c r="F150" s="21"/>
      <c r="G150" s="21"/>
      <c r="H150" s="21"/>
      <c r="I150" s="21"/>
    </row>
    <row r="151" spans="1:9" s="24" customFormat="1">
      <c r="A151" s="30"/>
      <c r="D151" s="21"/>
      <c r="E151" s="21"/>
      <c r="F151" s="21"/>
      <c r="G151" s="21"/>
      <c r="H151" s="21"/>
      <c r="I151" s="21"/>
    </row>
    <row r="152" spans="1:9" s="24" customFormat="1">
      <c r="A152" s="30"/>
      <c r="D152" s="21"/>
      <c r="E152" s="21"/>
      <c r="F152" s="21"/>
      <c r="G152" s="21"/>
      <c r="H152" s="21"/>
      <c r="I152" s="21"/>
    </row>
    <row r="153" spans="1:9" s="24" customFormat="1">
      <c r="A153" s="30"/>
      <c r="D153" s="21"/>
      <c r="E153" s="21"/>
      <c r="F153" s="21"/>
      <c r="G153" s="21"/>
      <c r="H153" s="21"/>
      <c r="I153" s="21"/>
    </row>
    <row r="154" spans="1:9" s="24" customFormat="1">
      <c r="A154" s="30"/>
      <c r="D154" s="21"/>
      <c r="E154" s="21"/>
      <c r="F154" s="21"/>
      <c r="G154" s="21"/>
      <c r="H154" s="21"/>
      <c r="I154" s="21"/>
    </row>
    <row r="155" spans="1:9" s="24" customFormat="1">
      <c r="A155" s="30"/>
      <c r="D155" s="21"/>
      <c r="E155" s="21"/>
      <c r="F155" s="21"/>
      <c r="G155" s="21"/>
      <c r="H155" s="21"/>
      <c r="I155" s="21"/>
    </row>
    <row r="156" spans="1:9" s="24" customFormat="1">
      <c r="A156" s="30"/>
      <c r="D156" s="21"/>
      <c r="E156" s="21"/>
      <c r="F156" s="21"/>
      <c r="G156" s="21"/>
      <c r="H156" s="21"/>
      <c r="I156" s="21"/>
    </row>
    <row r="157" spans="1:9" s="24" customFormat="1">
      <c r="A157" s="30"/>
      <c r="D157" s="21"/>
      <c r="E157" s="21"/>
      <c r="F157" s="21"/>
      <c r="G157" s="21"/>
      <c r="H157" s="21"/>
      <c r="I157" s="21"/>
    </row>
    <row r="158" spans="1:9" s="24" customFormat="1">
      <c r="A158" s="30"/>
      <c r="D158" s="21"/>
      <c r="E158" s="21"/>
      <c r="F158" s="21"/>
      <c r="G158" s="21"/>
      <c r="H158" s="21"/>
      <c r="I158" s="21"/>
    </row>
    <row r="159" spans="1:9" s="24" customFormat="1">
      <c r="A159" s="30"/>
      <c r="D159" s="21"/>
      <c r="E159" s="21"/>
      <c r="F159" s="21"/>
      <c r="G159" s="21"/>
      <c r="H159" s="21"/>
      <c r="I159" s="21"/>
    </row>
    <row r="160" spans="1:9" s="24" customFormat="1">
      <c r="A160" s="30"/>
      <c r="D160" s="21"/>
      <c r="E160" s="21"/>
      <c r="F160" s="21"/>
      <c r="G160" s="21"/>
      <c r="H160" s="21"/>
      <c r="I160" s="21"/>
    </row>
    <row r="161" spans="1:9" s="24" customFormat="1">
      <c r="A161" s="30"/>
      <c r="D161" s="21"/>
      <c r="E161" s="21"/>
      <c r="F161" s="21"/>
      <c r="G161" s="21"/>
      <c r="H161" s="21"/>
      <c r="I161" s="21"/>
    </row>
    <row r="162" spans="1:9" s="24" customFormat="1">
      <c r="A162" s="30"/>
      <c r="D162" s="21"/>
      <c r="E162" s="21"/>
      <c r="F162" s="21"/>
      <c r="G162" s="21"/>
      <c r="H162" s="21"/>
      <c r="I162" s="21"/>
    </row>
    <row r="163" spans="1:9" s="24" customFormat="1">
      <c r="A163" s="30"/>
      <c r="D163" s="21"/>
      <c r="E163" s="21"/>
      <c r="F163" s="21"/>
      <c r="G163" s="21"/>
      <c r="H163" s="21"/>
      <c r="I163" s="21"/>
    </row>
    <row r="164" spans="1:9" s="24" customFormat="1">
      <c r="A164" s="30"/>
      <c r="D164" s="21"/>
      <c r="E164" s="21"/>
      <c r="F164" s="21"/>
      <c r="G164" s="21"/>
      <c r="H164" s="21"/>
      <c r="I164" s="21"/>
    </row>
    <row r="165" spans="1:9" s="24" customFormat="1">
      <c r="A165" s="30"/>
      <c r="D165" s="21"/>
      <c r="E165" s="21"/>
      <c r="F165" s="21"/>
      <c r="G165" s="21"/>
      <c r="H165" s="21"/>
      <c r="I165" s="21"/>
    </row>
    <row r="166" spans="1:9" s="24" customFormat="1">
      <c r="A166" s="30"/>
      <c r="D166" s="21"/>
      <c r="E166" s="21"/>
      <c r="F166" s="21"/>
      <c r="G166" s="21"/>
      <c r="H166" s="21"/>
      <c r="I166" s="21"/>
    </row>
    <row r="167" spans="1:9" s="24" customFormat="1">
      <c r="A167" s="30"/>
      <c r="D167" s="21"/>
      <c r="E167" s="21"/>
      <c r="F167" s="21"/>
      <c r="G167" s="21"/>
      <c r="H167" s="21"/>
      <c r="I167" s="21"/>
    </row>
    <row r="168" spans="1:9" s="24" customFormat="1">
      <c r="A168" s="30"/>
      <c r="D168" s="21"/>
      <c r="E168" s="21"/>
      <c r="F168" s="21"/>
      <c r="G168" s="21"/>
      <c r="H168" s="21"/>
      <c r="I168" s="21"/>
    </row>
    <row r="169" spans="1:9" s="24" customFormat="1">
      <c r="A169" s="30"/>
      <c r="D169" s="21"/>
      <c r="E169" s="21"/>
      <c r="F169" s="21"/>
      <c r="G169" s="21"/>
      <c r="H169" s="21"/>
      <c r="I169" s="21"/>
    </row>
    <row r="170" spans="1:9" s="24" customFormat="1">
      <c r="A170" s="30"/>
      <c r="D170" s="21"/>
      <c r="E170" s="21"/>
      <c r="F170" s="21"/>
      <c r="G170" s="21"/>
      <c r="H170" s="21"/>
      <c r="I170" s="21"/>
    </row>
    <row r="171" spans="1:9" s="24" customFormat="1">
      <c r="A171" s="30"/>
      <c r="D171" s="21"/>
      <c r="E171" s="21"/>
      <c r="F171" s="21"/>
      <c r="G171" s="21"/>
      <c r="H171" s="21"/>
      <c r="I171" s="21"/>
    </row>
    <row r="172" spans="1:9" s="24" customFormat="1">
      <c r="A172" s="30"/>
      <c r="D172" s="21"/>
      <c r="E172" s="21"/>
      <c r="F172" s="21"/>
      <c r="G172" s="21"/>
      <c r="H172" s="21"/>
      <c r="I172" s="21"/>
    </row>
    <row r="173" spans="1:9" s="24" customFormat="1">
      <c r="A173" s="30"/>
      <c r="D173" s="21"/>
      <c r="E173" s="21"/>
      <c r="F173" s="21"/>
      <c r="G173" s="21"/>
      <c r="H173" s="21"/>
      <c r="I173" s="21"/>
    </row>
    <row r="174" spans="1:9" s="24" customFormat="1">
      <c r="A174" s="30"/>
      <c r="D174" s="21"/>
      <c r="E174" s="21"/>
      <c r="F174" s="21"/>
      <c r="G174" s="21"/>
      <c r="H174" s="21"/>
      <c r="I174" s="21"/>
    </row>
    <row r="175" spans="1:9" s="24" customFormat="1">
      <c r="A175" s="30"/>
      <c r="D175" s="21"/>
      <c r="E175" s="21"/>
      <c r="F175" s="21"/>
      <c r="G175" s="21"/>
      <c r="H175" s="21"/>
      <c r="I175" s="21"/>
    </row>
    <row r="176" spans="1:9" s="24" customFormat="1">
      <c r="A176" s="30"/>
      <c r="D176" s="21"/>
      <c r="E176" s="21"/>
      <c r="F176" s="21"/>
      <c r="G176" s="21"/>
      <c r="H176" s="21"/>
      <c r="I176" s="21"/>
    </row>
    <row r="177" spans="1:9" s="24" customFormat="1">
      <c r="A177" s="30"/>
      <c r="D177" s="21"/>
      <c r="E177" s="21"/>
      <c r="F177" s="21"/>
      <c r="G177" s="21"/>
      <c r="H177" s="21"/>
      <c r="I177" s="21"/>
    </row>
    <row r="178" spans="1:9" s="24" customFormat="1">
      <c r="A178" s="30"/>
      <c r="D178" s="21"/>
      <c r="E178" s="21"/>
      <c r="F178" s="21"/>
      <c r="G178" s="21"/>
      <c r="H178" s="21"/>
      <c r="I178" s="21"/>
    </row>
    <row r="179" spans="1:9" s="24" customFormat="1">
      <c r="A179" s="30"/>
      <c r="D179" s="21"/>
      <c r="E179" s="21"/>
      <c r="F179" s="21"/>
      <c r="G179" s="21"/>
      <c r="H179" s="21"/>
      <c r="I179" s="21"/>
    </row>
    <row r="180" spans="1:9" s="24" customFormat="1">
      <c r="A180" s="30"/>
      <c r="D180" s="21"/>
      <c r="E180" s="21"/>
      <c r="F180" s="21"/>
      <c r="G180" s="21"/>
      <c r="H180" s="21"/>
      <c r="I180" s="21"/>
    </row>
    <row r="181" spans="1:9" s="24" customFormat="1">
      <c r="A181" s="30"/>
      <c r="D181" s="21"/>
      <c r="E181" s="21"/>
      <c r="F181" s="21"/>
      <c r="G181" s="21"/>
      <c r="H181" s="21"/>
      <c r="I181" s="21"/>
    </row>
    <row r="182" spans="1:9" s="24" customFormat="1">
      <c r="A182" s="30"/>
      <c r="D182" s="21"/>
      <c r="E182" s="21"/>
      <c r="F182" s="21"/>
      <c r="G182" s="21"/>
      <c r="H182" s="21"/>
      <c r="I182" s="21"/>
    </row>
    <row r="183" spans="1:9" s="24" customFormat="1">
      <c r="A183" s="30"/>
      <c r="D183" s="21"/>
      <c r="E183" s="21"/>
      <c r="F183" s="21"/>
      <c r="G183" s="21"/>
      <c r="H183" s="21"/>
      <c r="I183" s="21"/>
    </row>
    <row r="184" spans="1:9" s="24" customFormat="1">
      <c r="A184" s="30"/>
      <c r="D184" s="21"/>
      <c r="E184" s="21"/>
      <c r="F184" s="21"/>
      <c r="G184" s="21"/>
      <c r="H184" s="21"/>
      <c r="I184" s="21"/>
    </row>
    <row r="185" spans="1:9" s="24" customFormat="1">
      <c r="A185" s="30"/>
      <c r="D185" s="21"/>
      <c r="E185" s="21"/>
      <c r="F185" s="21"/>
      <c r="G185" s="21"/>
      <c r="H185" s="21"/>
      <c r="I185" s="21"/>
    </row>
    <row r="186" spans="1:9" s="24" customFormat="1">
      <c r="A186" s="30"/>
      <c r="D186" s="21"/>
      <c r="E186" s="21"/>
      <c r="F186" s="21"/>
      <c r="G186" s="21"/>
      <c r="H186" s="21"/>
      <c r="I186" s="21"/>
    </row>
    <row r="187" spans="1:9" s="24" customFormat="1">
      <c r="A187" s="30"/>
      <c r="D187" s="21"/>
      <c r="E187" s="21"/>
      <c r="F187" s="21"/>
      <c r="G187" s="21"/>
      <c r="H187" s="21"/>
      <c r="I187" s="21"/>
    </row>
    <row r="188" spans="1:9" s="24" customFormat="1">
      <c r="A188" s="30"/>
      <c r="D188" s="21"/>
      <c r="E188" s="21"/>
      <c r="F188" s="21"/>
      <c r="G188" s="21"/>
      <c r="H188" s="21"/>
      <c r="I188" s="21"/>
    </row>
    <row r="189" spans="1:9" s="24" customFormat="1">
      <c r="A189" s="30"/>
      <c r="D189" s="21"/>
      <c r="E189" s="21"/>
      <c r="F189" s="21"/>
      <c r="G189" s="21"/>
      <c r="H189" s="21"/>
      <c r="I189" s="21"/>
    </row>
    <row r="190" spans="1:9" s="24" customFormat="1">
      <c r="A190" s="30"/>
      <c r="D190" s="21"/>
      <c r="E190" s="21"/>
      <c r="F190" s="21"/>
      <c r="G190" s="21"/>
      <c r="H190" s="21"/>
      <c r="I190" s="21"/>
    </row>
    <row r="191" spans="1:9" s="24" customFormat="1">
      <c r="A191" s="30"/>
      <c r="D191" s="21"/>
      <c r="E191" s="21"/>
      <c r="F191" s="21"/>
      <c r="G191" s="21"/>
      <c r="H191" s="21"/>
      <c r="I191" s="21"/>
    </row>
    <row r="192" spans="1:9" s="24" customFormat="1">
      <c r="A192" s="30"/>
      <c r="D192" s="21"/>
      <c r="E192" s="21"/>
      <c r="F192" s="21"/>
      <c r="G192" s="21"/>
      <c r="H192" s="21"/>
      <c r="I192" s="21"/>
    </row>
    <row r="193" spans="1:9" s="24" customFormat="1">
      <c r="A193" s="30"/>
      <c r="D193" s="21"/>
      <c r="E193" s="21"/>
      <c r="F193" s="21"/>
      <c r="G193" s="21"/>
      <c r="H193" s="21"/>
      <c r="I193" s="21"/>
    </row>
    <row r="194" spans="1:9" s="24" customFormat="1">
      <c r="A194" s="30"/>
      <c r="D194" s="21"/>
      <c r="E194" s="21"/>
      <c r="F194" s="21"/>
      <c r="G194" s="21"/>
      <c r="H194" s="21"/>
      <c r="I194" s="21"/>
    </row>
    <row r="195" spans="1:9" s="24" customFormat="1">
      <c r="A195" s="30"/>
      <c r="D195" s="21"/>
      <c r="E195" s="21"/>
      <c r="F195" s="21"/>
      <c r="G195" s="21"/>
      <c r="H195" s="21"/>
      <c r="I195" s="21"/>
    </row>
    <row r="196" spans="1:9" s="24" customFormat="1">
      <c r="A196" s="30"/>
      <c r="D196" s="21"/>
      <c r="E196" s="21"/>
      <c r="F196" s="21"/>
      <c r="G196" s="21"/>
      <c r="H196" s="21"/>
      <c r="I196" s="21"/>
    </row>
    <row r="197" spans="1:9" s="24" customFormat="1">
      <c r="A197" s="30"/>
      <c r="D197" s="21"/>
      <c r="E197" s="21"/>
      <c r="F197" s="21"/>
      <c r="G197" s="21"/>
      <c r="H197" s="21"/>
      <c r="I197" s="21"/>
    </row>
    <row r="198" spans="1:9" s="24" customFormat="1">
      <c r="A198" s="30"/>
      <c r="D198" s="21"/>
      <c r="E198" s="21"/>
      <c r="F198" s="21"/>
      <c r="G198" s="21"/>
      <c r="H198" s="21"/>
      <c r="I198" s="21"/>
    </row>
    <row r="199" spans="1:9" s="24" customFormat="1">
      <c r="A199" s="30"/>
      <c r="D199" s="21"/>
      <c r="E199" s="21"/>
      <c r="F199" s="21"/>
      <c r="G199" s="21"/>
      <c r="H199" s="21"/>
      <c r="I199" s="21"/>
    </row>
  </sheetData>
  <sheetProtection formatCells="0" formatColumns="0" formatRows="0" insertRows="0" deleteRows="0"/>
  <mergeCells count="9">
    <mergeCell ref="E49:G49"/>
    <mergeCell ref="A6:G6"/>
    <mergeCell ref="A1:G1"/>
    <mergeCell ref="A3:A4"/>
    <mergeCell ref="B3:B4"/>
    <mergeCell ref="C3:C4"/>
    <mergeCell ref="D3:G3"/>
    <mergeCell ref="E48:G48"/>
    <mergeCell ref="A21:G21"/>
  </mergeCells>
  <phoneticPr fontId="4" type="noConversion"/>
  <pageMargins left="0.78740157480314965" right="0.2" top="0.34" bottom="0.35" header="0.19685039370078741" footer="0.11811023622047245"/>
  <pageSetup paperSize="9" scale="4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tabColor rgb="FF3399FF"/>
    <pageSetUpPr fitToPage="1"/>
  </sheetPr>
  <dimension ref="A1:R180"/>
  <sheetViews>
    <sheetView zoomScale="93" zoomScaleNormal="93" zoomScaleSheetLayoutView="75" workbookViewId="0">
      <pane ySplit="5" topLeftCell="A146" activePane="bottomLeft" state="frozen"/>
      <selection pane="bottomLeft" activeCell="A14" sqref="A14"/>
    </sheetView>
  </sheetViews>
  <sheetFormatPr defaultRowHeight="18.75" outlineLevelRow="1"/>
  <cols>
    <col min="1" max="1" width="53.28515625" style="1" customWidth="1"/>
    <col min="2" max="2" width="13.7109375" style="1" customWidth="1"/>
    <col min="3" max="3" width="12.140625" style="1" customWidth="1"/>
    <col min="4" max="7" width="13.85546875" style="1" customWidth="1"/>
    <col min="8" max="8" width="0.140625" style="1" customWidth="1"/>
    <col min="9" max="9" width="29.140625" style="1" customWidth="1"/>
    <col min="10" max="10" width="31.7109375" style="1" customWidth="1"/>
    <col min="11" max="11" width="35.140625" style="1" customWidth="1"/>
    <col min="12" max="12" width="35" style="1" customWidth="1"/>
    <col min="13" max="13" width="13.5703125" style="1" customWidth="1"/>
    <col min="14" max="16384" width="9.140625" style="1"/>
  </cols>
  <sheetData>
    <row r="1" spans="1:12">
      <c r="A1" s="376" t="s">
        <v>253</v>
      </c>
      <c r="B1" s="376"/>
      <c r="C1" s="376"/>
      <c r="D1" s="376"/>
      <c r="E1" s="376"/>
      <c r="F1" s="376"/>
      <c r="G1" s="376"/>
      <c r="H1" s="165"/>
    </row>
    <row r="2" spans="1:12" outlineLevel="1">
      <c r="A2" s="11"/>
      <c r="B2" s="11"/>
      <c r="C2" s="11"/>
      <c r="D2" s="11"/>
      <c r="E2" s="11"/>
      <c r="F2" s="11"/>
      <c r="G2" s="11"/>
      <c r="H2" s="11"/>
    </row>
    <row r="3" spans="1:12" ht="48" customHeight="1">
      <c r="A3" s="377" t="s">
        <v>201</v>
      </c>
      <c r="B3" s="379" t="s">
        <v>0</v>
      </c>
      <c r="C3" s="379" t="s">
        <v>479</v>
      </c>
      <c r="D3" s="371" t="s">
        <v>587</v>
      </c>
      <c r="E3" s="371"/>
      <c r="F3" s="371"/>
      <c r="G3" s="371"/>
      <c r="H3" s="27"/>
    </row>
    <row r="4" spans="1:12" ht="38.25" customHeight="1">
      <c r="A4" s="378"/>
      <c r="B4" s="379"/>
      <c r="C4" s="379"/>
      <c r="D4" s="155" t="s">
        <v>473</v>
      </c>
      <c r="E4" s="155" t="s">
        <v>474</v>
      </c>
      <c r="F4" s="233" t="s">
        <v>478</v>
      </c>
      <c r="G4" s="233" t="s">
        <v>476</v>
      </c>
      <c r="H4" s="110"/>
    </row>
    <row r="5" spans="1:12" ht="18" customHeight="1">
      <c r="A5" s="159">
        <v>1</v>
      </c>
      <c r="B5" s="166">
        <v>2</v>
      </c>
      <c r="C5" s="166">
        <v>3</v>
      </c>
      <c r="D5" s="162">
        <v>4</v>
      </c>
      <c r="E5" s="162">
        <v>5</v>
      </c>
      <c r="F5" s="162">
        <v>6</v>
      </c>
      <c r="G5" s="159">
        <v>7</v>
      </c>
      <c r="H5" s="110"/>
    </row>
    <row r="6" spans="1:12" s="29" customFormat="1" ht="20.100000000000001" customHeight="1">
      <c r="A6" s="364" t="s">
        <v>130</v>
      </c>
      <c r="B6" s="365"/>
      <c r="C6" s="365"/>
      <c r="D6" s="365"/>
      <c r="E6" s="365"/>
      <c r="F6" s="365"/>
      <c r="G6" s="366"/>
      <c r="H6" s="20"/>
    </row>
    <row r="7" spans="1:12" ht="37.5">
      <c r="A7" s="22" t="s">
        <v>149</v>
      </c>
      <c r="B7" s="6">
        <v>1170</v>
      </c>
      <c r="C7" s="85">
        <v>-23282</v>
      </c>
      <c r="D7" s="85">
        <f>'I. Фін результат'!D138</f>
        <v>90</v>
      </c>
      <c r="E7" s="232">
        <f>'I. Фін результат'!E138</f>
        <v>-4175</v>
      </c>
      <c r="F7" s="147">
        <f>E7-D7</f>
        <v>-4265</v>
      </c>
      <c r="G7" s="148">
        <f>E7/D7*100</f>
        <v>-4638.8888888888887</v>
      </c>
      <c r="H7" s="111"/>
      <c r="I7" s="90"/>
    </row>
    <row r="8" spans="1:12" ht="19.5" customHeight="1">
      <c r="A8" s="22" t="s">
        <v>150</v>
      </c>
      <c r="B8" s="9"/>
      <c r="C8" s="85"/>
      <c r="D8" s="85"/>
      <c r="E8" s="85"/>
      <c r="F8" s="147"/>
      <c r="G8" s="148"/>
      <c r="H8" s="111"/>
    </row>
    <row r="9" spans="1:12" ht="20.100000000000001" customHeight="1">
      <c r="A9" s="22" t="s">
        <v>153</v>
      </c>
      <c r="B9" s="160">
        <v>3000</v>
      </c>
      <c r="C9" s="85">
        <v>8258</v>
      </c>
      <c r="D9" s="85">
        <f>'I. Фін результат'!D164</f>
        <v>9853</v>
      </c>
      <c r="E9" s="85">
        <f>'I. Фін результат'!E164</f>
        <v>6323</v>
      </c>
      <c r="F9" s="147">
        <f t="shared" ref="F9:F85" si="0">E9-D9</f>
        <v>-3530</v>
      </c>
      <c r="G9" s="148">
        <f t="shared" ref="G9:G85" si="1">E9/D9*100</f>
        <v>64.173348218816599</v>
      </c>
      <c r="H9" s="111"/>
      <c r="I9" s="90"/>
    </row>
    <row r="10" spans="1:12" ht="20.100000000000001" customHeight="1">
      <c r="A10" s="22" t="s">
        <v>154</v>
      </c>
      <c r="B10" s="160">
        <v>3010</v>
      </c>
      <c r="C10" s="82"/>
      <c r="D10" s="82">
        <v>0</v>
      </c>
      <c r="E10" s="245">
        <v>0</v>
      </c>
      <c r="F10" s="147">
        <f t="shared" si="0"/>
        <v>0</v>
      </c>
      <c r="G10" s="148">
        <v>0</v>
      </c>
      <c r="H10" s="112"/>
    </row>
    <row r="11" spans="1:12" ht="37.5">
      <c r="A11" s="22" t="s">
        <v>155</v>
      </c>
      <c r="B11" s="160">
        <v>3020</v>
      </c>
      <c r="C11" s="82"/>
      <c r="D11" s="82">
        <v>0</v>
      </c>
      <c r="E11" s="82"/>
      <c r="F11" s="147">
        <f t="shared" si="0"/>
        <v>0</v>
      </c>
      <c r="G11" s="148">
        <v>0</v>
      </c>
      <c r="H11" s="112"/>
    </row>
    <row r="12" spans="1:12" ht="56.25">
      <c r="A12" s="22" t="s">
        <v>156</v>
      </c>
      <c r="B12" s="160">
        <v>3030</v>
      </c>
      <c r="C12" s="245">
        <f>SUM(C14:C19)</f>
        <v>1682</v>
      </c>
      <c r="D12" s="82">
        <v>-165</v>
      </c>
      <c r="E12" s="245">
        <f>SUM(E13:E19)</f>
        <v>133554</v>
      </c>
      <c r="F12" s="147">
        <f t="shared" si="0"/>
        <v>133719</v>
      </c>
      <c r="G12" s="148">
        <f t="shared" si="1"/>
        <v>-80941.818181818177</v>
      </c>
      <c r="H12" s="112"/>
      <c r="I12" s="90"/>
    </row>
    <row r="13" spans="1:12" ht="37.5">
      <c r="A13" s="205" t="s">
        <v>374</v>
      </c>
      <c r="B13" s="307" t="s">
        <v>345</v>
      </c>
      <c r="C13" s="245"/>
      <c r="D13" s="306"/>
      <c r="E13" s="245">
        <f>-'I. Фін результат'!E35</f>
        <v>-54</v>
      </c>
      <c r="F13" s="147">
        <f t="shared" ref="F13" si="2">E13-D13</f>
        <v>-54</v>
      </c>
      <c r="G13" s="148" t="e">
        <f t="shared" si="1"/>
        <v>#DIV/0!</v>
      </c>
      <c r="H13" s="112"/>
      <c r="I13" s="90"/>
      <c r="J13" s="154"/>
    </row>
    <row r="14" spans="1:12" ht="39" customHeight="1">
      <c r="A14" s="22" t="s">
        <v>585</v>
      </c>
      <c r="B14" s="160" t="s">
        <v>349</v>
      </c>
      <c r="C14" s="82">
        <v>830</v>
      </c>
      <c r="D14" s="82">
        <v>-165</v>
      </c>
      <c r="E14" s="245">
        <v>-452</v>
      </c>
      <c r="F14" s="147">
        <f t="shared" si="0"/>
        <v>-287</v>
      </c>
      <c r="G14" s="148">
        <f t="shared" si="1"/>
        <v>273.93939393939394</v>
      </c>
      <c r="H14" s="112"/>
      <c r="I14" s="90"/>
      <c r="L14" s="90"/>
    </row>
    <row r="15" spans="1:12" ht="39" customHeight="1">
      <c r="A15" s="22" t="s">
        <v>571</v>
      </c>
      <c r="B15" s="160" t="s">
        <v>352</v>
      </c>
      <c r="C15" s="82">
        <v>852</v>
      </c>
      <c r="D15" s="82">
        <v>0</v>
      </c>
      <c r="E15" s="245">
        <f>-'I. Фін результат'!E37</f>
        <v>-1003</v>
      </c>
      <c r="F15" s="147">
        <f t="shared" si="0"/>
        <v>-1003</v>
      </c>
      <c r="G15" s="148" t="e">
        <f t="shared" si="1"/>
        <v>#DIV/0!</v>
      </c>
      <c r="H15" s="112"/>
      <c r="J15" s="154"/>
    </row>
    <row r="16" spans="1:12" ht="39" customHeight="1">
      <c r="A16" s="22" t="s">
        <v>569</v>
      </c>
      <c r="B16" s="307" t="s">
        <v>362</v>
      </c>
      <c r="C16" s="245">
        <v>0</v>
      </c>
      <c r="D16" s="245">
        <v>0</v>
      </c>
      <c r="E16" s="245">
        <f>I16</f>
        <v>0</v>
      </c>
      <c r="F16" s="147">
        <v>0</v>
      </c>
      <c r="G16" s="148" t="e">
        <f t="shared" si="1"/>
        <v>#DIV/0!</v>
      </c>
      <c r="H16" s="112"/>
      <c r="I16" s="90"/>
    </row>
    <row r="17" spans="1:12" ht="19.5" customHeight="1">
      <c r="A17" s="22" t="s">
        <v>324</v>
      </c>
      <c r="B17" s="160" t="s">
        <v>376</v>
      </c>
      <c r="C17" s="82"/>
      <c r="D17" s="82">
        <v>0</v>
      </c>
      <c r="E17" s="245">
        <f>I17</f>
        <v>0</v>
      </c>
      <c r="F17" s="147">
        <f t="shared" si="0"/>
        <v>0</v>
      </c>
      <c r="G17" s="148" t="e">
        <f t="shared" si="1"/>
        <v>#DIV/0!</v>
      </c>
      <c r="H17" s="112"/>
    </row>
    <row r="18" spans="1:12" ht="19.5" customHeight="1">
      <c r="A18" s="22" t="s">
        <v>361</v>
      </c>
      <c r="B18" s="160" t="s">
        <v>570</v>
      </c>
      <c r="C18" s="82">
        <v>0</v>
      </c>
      <c r="D18" s="82">
        <v>0</v>
      </c>
      <c r="E18" s="245">
        <v>0</v>
      </c>
      <c r="F18" s="147">
        <f t="shared" si="0"/>
        <v>0</v>
      </c>
      <c r="G18" s="148" t="e">
        <f t="shared" si="1"/>
        <v>#DIV/0!</v>
      </c>
      <c r="H18" s="112"/>
    </row>
    <row r="19" spans="1:12">
      <c r="A19" s="22" t="s">
        <v>573</v>
      </c>
      <c r="B19" s="160" t="s">
        <v>572</v>
      </c>
      <c r="C19" s="82">
        <v>0</v>
      </c>
      <c r="D19" s="257">
        <v>0</v>
      </c>
      <c r="E19" s="245">
        <f>75756-9247+68552+2</f>
        <v>135063</v>
      </c>
      <c r="F19" s="147">
        <f t="shared" si="0"/>
        <v>135063</v>
      </c>
      <c r="G19" s="148" t="e">
        <f t="shared" si="1"/>
        <v>#DIV/0!</v>
      </c>
      <c r="H19" s="112"/>
      <c r="I19" s="90"/>
    </row>
    <row r="20" spans="1:12" ht="42.75" customHeight="1">
      <c r="A20" s="28" t="s">
        <v>195</v>
      </c>
      <c r="B20" s="41">
        <v>3040</v>
      </c>
      <c r="C20" s="156">
        <f>SUM(C7:C12)</f>
        <v>-13342</v>
      </c>
      <c r="D20" s="156">
        <f>SUM(D7:D12)</f>
        <v>9778</v>
      </c>
      <c r="E20" s="156">
        <f>SUM(E7:E12)</f>
        <v>135702</v>
      </c>
      <c r="F20" s="147">
        <f t="shared" si="0"/>
        <v>125924</v>
      </c>
      <c r="G20" s="148">
        <f t="shared" si="1"/>
        <v>1387.8298220494989</v>
      </c>
      <c r="H20" s="188"/>
    </row>
    <row r="21" spans="1:12" ht="37.5">
      <c r="A21" s="22" t="s">
        <v>157</v>
      </c>
      <c r="B21" s="160">
        <v>3050</v>
      </c>
      <c r="C21" s="245">
        <v>-1050</v>
      </c>
      <c r="D21" s="82">
        <v>-753</v>
      </c>
      <c r="E21" s="245">
        <f>I21</f>
        <v>0</v>
      </c>
      <c r="F21" s="147">
        <f t="shared" si="0"/>
        <v>753</v>
      </c>
      <c r="G21" s="148">
        <f t="shared" si="1"/>
        <v>0</v>
      </c>
      <c r="H21" s="112"/>
    </row>
    <row r="22" spans="1:12">
      <c r="A22" s="22" t="s">
        <v>577</v>
      </c>
      <c r="B22" s="307" t="s">
        <v>466</v>
      </c>
      <c r="C22" s="245">
        <v>-1050</v>
      </c>
      <c r="D22" s="245">
        <v>-753</v>
      </c>
      <c r="E22" s="245">
        <f>I22</f>
        <v>0</v>
      </c>
      <c r="F22" s="147">
        <f t="shared" si="0"/>
        <v>753</v>
      </c>
      <c r="G22" s="148">
        <f t="shared" si="1"/>
        <v>0</v>
      </c>
      <c r="H22" s="112"/>
      <c r="I22" s="90"/>
    </row>
    <row r="23" spans="1:12">
      <c r="A23" s="22" t="s">
        <v>578</v>
      </c>
      <c r="B23" s="307" t="s">
        <v>574</v>
      </c>
      <c r="C23" s="245"/>
      <c r="D23" s="245"/>
      <c r="E23" s="245">
        <f>I23</f>
        <v>0</v>
      </c>
      <c r="F23" s="147"/>
      <c r="G23" s="148" t="e">
        <f t="shared" si="1"/>
        <v>#DIV/0!</v>
      </c>
      <c r="H23" s="112"/>
      <c r="I23" s="90"/>
    </row>
    <row r="24" spans="1:12">
      <c r="A24" s="22" t="s">
        <v>579</v>
      </c>
      <c r="B24" s="307" t="s">
        <v>575</v>
      </c>
      <c r="C24" s="245"/>
      <c r="D24" s="245"/>
      <c r="E24" s="245">
        <v>0</v>
      </c>
      <c r="F24" s="147"/>
      <c r="G24" s="148" t="e">
        <f t="shared" si="1"/>
        <v>#DIV/0!</v>
      </c>
      <c r="H24" s="112"/>
      <c r="I24" s="90"/>
    </row>
    <row r="25" spans="1:12">
      <c r="A25" s="22" t="s">
        <v>591</v>
      </c>
      <c r="B25" s="160" t="s">
        <v>576</v>
      </c>
      <c r="C25" s="82"/>
      <c r="D25" s="82"/>
      <c r="E25" s="245">
        <f>I25</f>
        <v>0</v>
      </c>
      <c r="F25" s="147">
        <f t="shared" si="0"/>
        <v>0</v>
      </c>
      <c r="G25" s="148" t="e">
        <f t="shared" si="1"/>
        <v>#DIV/0!</v>
      </c>
      <c r="H25" s="112"/>
      <c r="I25" s="90"/>
    </row>
    <row r="26" spans="1:12" ht="37.5">
      <c r="A26" s="22" t="s">
        <v>158</v>
      </c>
      <c r="B26" s="160">
        <v>3060</v>
      </c>
      <c r="C26" s="245">
        <f>C27</f>
        <v>-1116</v>
      </c>
      <c r="D26" s="82">
        <v>6540</v>
      </c>
      <c r="E26" s="245">
        <f>E27+E28+E29</f>
        <v>100651</v>
      </c>
      <c r="F26" s="147">
        <f t="shared" si="0"/>
        <v>94111</v>
      </c>
      <c r="G26" s="148">
        <f t="shared" si="1"/>
        <v>1539.006116207951</v>
      </c>
      <c r="H26" s="112"/>
      <c r="I26" s="90"/>
    </row>
    <row r="27" spans="1:12">
      <c r="A27" s="22" t="s">
        <v>580</v>
      </c>
      <c r="B27" s="307" t="s">
        <v>350</v>
      </c>
      <c r="C27" s="245">
        <f>-77+1044-2083</f>
        <v>-1116</v>
      </c>
      <c r="D27" s="245">
        <v>6540</v>
      </c>
      <c r="E27" s="245">
        <f>100287+1</f>
        <v>100288</v>
      </c>
      <c r="F27" s="147"/>
      <c r="G27" s="148">
        <f t="shared" si="1"/>
        <v>1533.4556574923547</v>
      </c>
      <c r="H27" s="112"/>
      <c r="I27" s="90"/>
    </row>
    <row r="28" spans="1:12">
      <c r="A28" s="22" t="s">
        <v>581</v>
      </c>
      <c r="B28" s="307" t="s">
        <v>583</v>
      </c>
      <c r="C28" s="246"/>
      <c r="D28" s="245"/>
      <c r="E28" s="245">
        <v>0</v>
      </c>
      <c r="F28" s="147"/>
      <c r="G28" s="148" t="e">
        <f t="shared" si="1"/>
        <v>#DIV/0!</v>
      </c>
      <c r="H28" s="112"/>
      <c r="I28" s="90"/>
    </row>
    <row r="29" spans="1:12">
      <c r="A29" s="22" t="s">
        <v>582</v>
      </c>
      <c r="B29" s="307" t="s">
        <v>584</v>
      </c>
      <c r="C29" s="246"/>
      <c r="D29" s="245"/>
      <c r="E29" s="245">
        <f>362+1</f>
        <v>363</v>
      </c>
      <c r="F29" s="147"/>
      <c r="G29" s="148" t="e">
        <f t="shared" si="1"/>
        <v>#DIV/0!</v>
      </c>
      <c r="H29" s="112"/>
      <c r="I29" s="90"/>
    </row>
    <row r="30" spans="1:12" ht="35.25" customHeight="1">
      <c r="A30" s="28" t="s">
        <v>151</v>
      </c>
      <c r="B30" s="41">
        <v>3070</v>
      </c>
      <c r="C30" s="156">
        <f>SUM(C20:C21)+C26</f>
        <v>-15508</v>
      </c>
      <c r="D30" s="156">
        <f>SUM(D20:D21)+D26</f>
        <v>15565</v>
      </c>
      <c r="E30" s="156">
        <f>SUM(E20:E21)+E26</f>
        <v>236353</v>
      </c>
      <c r="F30" s="147">
        <f t="shared" si="0"/>
        <v>220788</v>
      </c>
      <c r="G30" s="148">
        <f t="shared" si="1"/>
        <v>1518.4902023771281</v>
      </c>
      <c r="H30" s="188"/>
    </row>
    <row r="31" spans="1:12" ht="17.25" customHeight="1">
      <c r="A31" s="22" t="s">
        <v>152</v>
      </c>
      <c r="B31" s="160">
        <v>3080</v>
      </c>
      <c r="C31" s="85">
        <f>'I. Фін результат'!C139</f>
        <v>0</v>
      </c>
      <c r="D31" s="85">
        <f>'I. Фін результат'!D139</f>
        <v>16</v>
      </c>
      <c r="E31" s="85">
        <f>'I. Фін результат'!E139</f>
        <v>0</v>
      </c>
      <c r="F31" s="147">
        <f t="shared" si="0"/>
        <v>-16</v>
      </c>
      <c r="G31" s="148">
        <f t="shared" si="1"/>
        <v>0</v>
      </c>
      <c r="H31" s="111"/>
      <c r="K31" s="324"/>
      <c r="L31" s="324"/>
    </row>
    <row r="32" spans="1:12" ht="37.5">
      <c r="A32" s="7" t="s">
        <v>129</v>
      </c>
      <c r="B32" s="41">
        <v>3090</v>
      </c>
      <c r="C32" s="156">
        <f t="shared" ref="C32:E32" si="3">C30-C31</f>
        <v>-15508</v>
      </c>
      <c r="D32" s="156">
        <f t="shared" si="3"/>
        <v>15549</v>
      </c>
      <c r="E32" s="156">
        <f t="shared" si="3"/>
        <v>236353</v>
      </c>
      <c r="F32" s="147">
        <f t="shared" si="0"/>
        <v>220804</v>
      </c>
      <c r="G32" s="148">
        <f t="shared" si="1"/>
        <v>1520.0527365103865</v>
      </c>
      <c r="H32" s="188"/>
      <c r="I32" s="90"/>
    </row>
    <row r="33" spans="1:8" ht="39.75" customHeight="1">
      <c r="A33" s="372" t="s">
        <v>131</v>
      </c>
      <c r="B33" s="373"/>
      <c r="C33" s="373"/>
      <c r="D33" s="373"/>
      <c r="E33" s="373"/>
      <c r="F33" s="373"/>
      <c r="G33" s="374"/>
      <c r="H33" s="20"/>
    </row>
    <row r="34" spans="1:8" ht="20.100000000000001" customHeight="1">
      <c r="A34" s="28" t="s">
        <v>215</v>
      </c>
      <c r="B34" s="6"/>
      <c r="C34" s="170"/>
      <c r="D34" s="170"/>
      <c r="E34" s="170"/>
      <c r="F34" s="147">
        <f t="shared" si="0"/>
        <v>0</v>
      </c>
      <c r="G34" s="148" t="e">
        <f t="shared" si="1"/>
        <v>#DIV/0!</v>
      </c>
      <c r="H34" s="113"/>
    </row>
    <row r="35" spans="1:8" ht="20.100000000000001" customHeight="1">
      <c r="A35" s="5" t="s">
        <v>31</v>
      </c>
      <c r="B35" s="6">
        <v>3200</v>
      </c>
      <c r="C35" s="170">
        <v>0</v>
      </c>
      <c r="D35" s="170">
        <v>0</v>
      </c>
      <c r="E35" s="170"/>
      <c r="F35" s="147">
        <f t="shared" si="0"/>
        <v>0</v>
      </c>
      <c r="G35" s="148" t="e">
        <f t="shared" si="1"/>
        <v>#DIV/0!</v>
      </c>
      <c r="H35" s="113"/>
    </row>
    <row r="36" spans="1:8" ht="33" customHeight="1">
      <c r="A36" s="5" t="s">
        <v>32</v>
      </c>
      <c r="B36" s="6">
        <v>3210</v>
      </c>
      <c r="C36" s="170">
        <v>0</v>
      </c>
      <c r="D36" s="170">
        <v>0</v>
      </c>
      <c r="E36" s="170"/>
      <c r="F36" s="147">
        <f t="shared" si="0"/>
        <v>0</v>
      </c>
      <c r="G36" s="148" t="e">
        <f t="shared" si="1"/>
        <v>#DIV/0!</v>
      </c>
      <c r="H36" s="113"/>
    </row>
    <row r="37" spans="1:8" ht="20.100000000000001" customHeight="1">
      <c r="A37" s="5" t="s">
        <v>51</v>
      </c>
      <c r="B37" s="6">
        <v>3220</v>
      </c>
      <c r="C37" s="170">
        <v>0</v>
      </c>
      <c r="D37" s="170">
        <v>0</v>
      </c>
      <c r="E37" s="170"/>
      <c r="F37" s="147">
        <f t="shared" si="0"/>
        <v>0</v>
      </c>
      <c r="G37" s="148" t="e">
        <f t="shared" si="1"/>
        <v>#DIV/0!</v>
      </c>
      <c r="H37" s="113"/>
    </row>
    <row r="38" spans="1:8" ht="18.75" customHeight="1">
      <c r="A38" s="22" t="s">
        <v>135</v>
      </c>
      <c r="B38" s="6"/>
      <c r="C38" s="170"/>
      <c r="D38" s="170"/>
      <c r="E38" s="170"/>
      <c r="F38" s="147">
        <f t="shared" si="0"/>
        <v>0</v>
      </c>
      <c r="G38" s="148" t="e">
        <f t="shared" si="1"/>
        <v>#DIV/0!</v>
      </c>
      <c r="H38" s="113"/>
    </row>
    <row r="39" spans="1:8" ht="20.100000000000001" customHeight="1">
      <c r="A39" s="5" t="s">
        <v>136</v>
      </c>
      <c r="B39" s="6">
        <v>3230</v>
      </c>
      <c r="C39" s="170">
        <v>0</v>
      </c>
      <c r="D39" s="170">
        <v>0</v>
      </c>
      <c r="E39" s="170"/>
      <c r="F39" s="147">
        <f t="shared" si="0"/>
        <v>0</v>
      </c>
      <c r="G39" s="148" t="e">
        <f t="shared" si="1"/>
        <v>#DIV/0!</v>
      </c>
      <c r="H39" s="113"/>
    </row>
    <row r="40" spans="1:8" ht="20.100000000000001" customHeight="1">
      <c r="A40" s="5" t="s">
        <v>137</v>
      </c>
      <c r="B40" s="6">
        <v>3240</v>
      </c>
      <c r="C40" s="170">
        <v>0</v>
      </c>
      <c r="D40" s="170">
        <v>0</v>
      </c>
      <c r="E40" s="170"/>
      <c r="F40" s="147">
        <f t="shared" si="0"/>
        <v>0</v>
      </c>
      <c r="G40" s="148" t="e">
        <f t="shared" si="1"/>
        <v>#DIV/0!</v>
      </c>
      <c r="H40" s="113"/>
    </row>
    <row r="41" spans="1:8" ht="20.100000000000001" customHeight="1">
      <c r="A41" s="22" t="s">
        <v>138</v>
      </c>
      <c r="B41" s="6">
        <v>3250</v>
      </c>
      <c r="C41" s="170">
        <v>0</v>
      </c>
      <c r="D41" s="170">
        <v>0</v>
      </c>
      <c r="E41" s="170"/>
      <c r="F41" s="147">
        <f t="shared" si="0"/>
        <v>0</v>
      </c>
      <c r="G41" s="148" t="e">
        <f t="shared" si="1"/>
        <v>#DIV/0!</v>
      </c>
      <c r="H41" s="113"/>
    </row>
    <row r="42" spans="1:8" ht="20.100000000000001" customHeight="1">
      <c r="A42" s="7" t="s">
        <v>100</v>
      </c>
      <c r="B42" s="8">
        <v>3260</v>
      </c>
      <c r="C42" s="231">
        <f>C44</f>
        <v>0</v>
      </c>
      <c r="D42" s="231">
        <f>D44+D43+D48</f>
        <v>995192</v>
      </c>
      <c r="E42" s="104">
        <f>E44+E48</f>
        <v>335270</v>
      </c>
      <c r="F42" s="147">
        <f t="shared" si="0"/>
        <v>-659922</v>
      </c>
      <c r="G42" s="148">
        <f t="shared" si="1"/>
        <v>33.688976599490353</v>
      </c>
      <c r="H42" s="114"/>
    </row>
    <row r="43" spans="1:8" ht="20.100000000000001" customHeight="1">
      <c r="A43" s="5" t="s">
        <v>489</v>
      </c>
      <c r="B43" s="6" t="s">
        <v>490</v>
      </c>
      <c r="C43" s="281">
        <v>0</v>
      </c>
      <c r="D43" s="104">
        <v>0</v>
      </c>
      <c r="E43" s="104">
        <v>0</v>
      </c>
      <c r="F43" s="147"/>
      <c r="G43" s="148" t="e">
        <f t="shared" si="1"/>
        <v>#DIV/0!</v>
      </c>
      <c r="H43" s="114"/>
    </row>
    <row r="44" spans="1:8" ht="20.100000000000001" customHeight="1">
      <c r="A44" s="5" t="s">
        <v>100</v>
      </c>
      <c r="B44" s="6" t="s">
        <v>491</v>
      </c>
      <c r="C44" s="281">
        <f>C45+C46+C47</f>
        <v>0</v>
      </c>
      <c r="D44" s="269">
        <f t="shared" ref="D44" si="4">D45+D46+D47</f>
        <v>980293</v>
      </c>
      <c r="E44" s="104">
        <f>E45+E46+E47</f>
        <v>330967</v>
      </c>
      <c r="F44" s="147"/>
      <c r="G44" s="148">
        <f t="shared" si="1"/>
        <v>33.762048693604875</v>
      </c>
      <c r="H44" s="114"/>
    </row>
    <row r="45" spans="1:8" ht="91.5" customHeight="1">
      <c r="A45" s="291" t="s">
        <v>434</v>
      </c>
      <c r="B45" s="189" t="s">
        <v>486</v>
      </c>
      <c r="C45" s="283"/>
      <c r="D45" s="269">
        <v>51390</v>
      </c>
      <c r="E45" s="283">
        <v>46264</v>
      </c>
      <c r="F45" s="147"/>
      <c r="G45" s="148">
        <f t="shared" si="1"/>
        <v>90.02529675034053</v>
      </c>
      <c r="H45" s="114"/>
    </row>
    <row r="46" spans="1:8" ht="69.75" customHeight="1">
      <c r="A46" s="291" t="s">
        <v>426</v>
      </c>
      <c r="B46" s="190" t="s">
        <v>487</v>
      </c>
      <c r="C46" s="281"/>
      <c r="D46" s="269">
        <v>919503</v>
      </c>
      <c r="E46" s="319">
        <v>284703</v>
      </c>
      <c r="F46" s="147"/>
      <c r="G46" s="148">
        <f t="shared" si="1"/>
        <v>30.962704852512719</v>
      </c>
      <c r="H46" s="114"/>
    </row>
    <row r="47" spans="1:8" ht="84" customHeight="1">
      <c r="A47" s="291" t="s">
        <v>540</v>
      </c>
      <c r="B47" s="191" t="s">
        <v>488</v>
      </c>
      <c r="C47" s="284"/>
      <c r="D47" s="269">
        <v>9400</v>
      </c>
      <c r="E47" s="281"/>
      <c r="F47" s="147"/>
      <c r="G47" s="148">
        <f t="shared" si="1"/>
        <v>0</v>
      </c>
      <c r="H47" s="114"/>
    </row>
    <row r="48" spans="1:8" ht="84" customHeight="1">
      <c r="A48" s="291" t="s">
        <v>541</v>
      </c>
      <c r="B48" s="191" t="s">
        <v>516</v>
      </c>
      <c r="C48" s="284"/>
      <c r="D48" s="269">
        <v>14899</v>
      </c>
      <c r="E48" s="281">
        <v>4303</v>
      </c>
      <c r="F48" s="147"/>
      <c r="G48" s="148">
        <f t="shared" si="1"/>
        <v>28.881132961943756</v>
      </c>
      <c r="H48" s="114"/>
    </row>
    <row r="49" spans="1:18" ht="21.75" customHeight="1">
      <c r="A49" s="28" t="s">
        <v>217</v>
      </c>
      <c r="B49" s="6"/>
      <c r="C49" s="170"/>
      <c r="D49" s="170"/>
      <c r="E49" s="170"/>
      <c r="F49" s="147">
        <f t="shared" si="0"/>
        <v>0</v>
      </c>
      <c r="G49" s="148" t="e">
        <f t="shared" si="1"/>
        <v>#DIV/0!</v>
      </c>
      <c r="H49" s="113"/>
    </row>
    <row r="50" spans="1:18" ht="45.75" customHeight="1">
      <c r="A50" s="7" t="s">
        <v>101</v>
      </c>
      <c r="B50" s="8">
        <v>3270</v>
      </c>
      <c r="C50" s="83">
        <f>SUM(C51:C76)</f>
        <v>179</v>
      </c>
      <c r="D50" s="83">
        <f>SUM(D51:D76)</f>
        <v>0</v>
      </c>
      <c r="E50" s="83">
        <f>SUM(E51:E76)</f>
        <v>0</v>
      </c>
      <c r="F50" s="147">
        <f t="shared" si="0"/>
        <v>0</v>
      </c>
      <c r="G50" s="148" t="e">
        <f t="shared" si="1"/>
        <v>#DIV/0!</v>
      </c>
      <c r="H50" s="115"/>
      <c r="I50" s="90"/>
      <c r="J50" s="90"/>
      <c r="K50" s="90"/>
      <c r="L50" s="90"/>
    </row>
    <row r="51" spans="1:18" ht="18.75" customHeight="1">
      <c r="A51" s="125" t="s">
        <v>385</v>
      </c>
      <c r="B51" s="107" t="s">
        <v>371</v>
      </c>
      <c r="C51" s="173">
        <v>0</v>
      </c>
      <c r="D51" s="82">
        <v>0</v>
      </c>
      <c r="E51" s="82">
        <v>0</v>
      </c>
      <c r="F51" s="147">
        <f t="shared" si="0"/>
        <v>0</v>
      </c>
      <c r="G51" s="148" t="e">
        <f t="shared" si="1"/>
        <v>#DIV/0!</v>
      </c>
      <c r="H51" s="112"/>
      <c r="I51" s="90"/>
    </row>
    <row r="52" spans="1:18" ht="19.5" customHeight="1">
      <c r="A52" s="125" t="s">
        <v>542</v>
      </c>
      <c r="B52" s="107" t="s">
        <v>373</v>
      </c>
      <c r="C52" s="173">
        <v>0</v>
      </c>
      <c r="D52" s="82">
        <v>0</v>
      </c>
      <c r="E52" s="82">
        <v>0</v>
      </c>
      <c r="F52" s="147">
        <f t="shared" si="0"/>
        <v>0</v>
      </c>
      <c r="G52" s="148" t="e">
        <f t="shared" si="1"/>
        <v>#DIV/0!</v>
      </c>
      <c r="H52" s="112"/>
      <c r="I52" s="90"/>
    </row>
    <row r="53" spans="1:18" ht="18" customHeight="1">
      <c r="A53" s="125" t="s">
        <v>421</v>
      </c>
      <c r="B53" s="107" t="s">
        <v>387</v>
      </c>
      <c r="C53" s="173">
        <v>0</v>
      </c>
      <c r="D53" s="82">
        <v>0</v>
      </c>
      <c r="E53" s="82">
        <v>0</v>
      </c>
      <c r="F53" s="147">
        <f t="shared" si="0"/>
        <v>0</v>
      </c>
      <c r="G53" s="148" t="e">
        <f t="shared" si="1"/>
        <v>#DIV/0!</v>
      </c>
      <c r="H53" s="192"/>
      <c r="I53" s="90"/>
    </row>
    <row r="54" spans="1:18" ht="19.5" customHeight="1">
      <c r="A54" s="125" t="s">
        <v>385</v>
      </c>
      <c r="B54" s="107" t="s">
        <v>388</v>
      </c>
      <c r="C54" s="173">
        <v>0</v>
      </c>
      <c r="D54" s="170"/>
      <c r="E54" s="170">
        <v>0</v>
      </c>
      <c r="F54" s="147">
        <f t="shared" si="0"/>
        <v>0</v>
      </c>
      <c r="G54" s="148" t="e">
        <f t="shared" si="1"/>
        <v>#DIV/0!</v>
      </c>
      <c r="H54" s="112"/>
      <c r="I54" s="90"/>
      <c r="M54" s="375"/>
      <c r="N54" s="375"/>
      <c r="O54" s="375"/>
      <c r="P54" s="375"/>
      <c r="Q54" s="375"/>
      <c r="R54" s="230"/>
    </row>
    <row r="55" spans="1:18" ht="20.25" customHeight="1">
      <c r="A55" s="125" t="s">
        <v>493</v>
      </c>
      <c r="B55" s="107" t="s">
        <v>389</v>
      </c>
      <c r="C55" s="108">
        <v>0</v>
      </c>
      <c r="D55" s="82">
        <v>0</v>
      </c>
      <c r="E55" s="82">
        <v>0</v>
      </c>
      <c r="F55" s="147">
        <f t="shared" si="0"/>
        <v>0</v>
      </c>
      <c r="G55" s="148" t="e">
        <f t="shared" si="1"/>
        <v>#DIV/0!</v>
      </c>
      <c r="H55" s="112"/>
      <c r="I55" s="90"/>
      <c r="M55" s="375"/>
      <c r="N55" s="375"/>
      <c r="O55" s="375"/>
      <c r="P55" s="375"/>
      <c r="Q55" s="375"/>
      <c r="R55" s="230"/>
    </row>
    <row r="56" spans="1:18" ht="33" customHeight="1">
      <c r="A56" s="125" t="s">
        <v>520</v>
      </c>
      <c r="B56" s="107" t="s">
        <v>390</v>
      </c>
      <c r="C56" s="108">
        <v>0</v>
      </c>
      <c r="D56" s="82">
        <v>0</v>
      </c>
      <c r="E56" s="82">
        <v>0</v>
      </c>
      <c r="F56" s="147">
        <f t="shared" si="0"/>
        <v>0</v>
      </c>
      <c r="G56" s="148" t="e">
        <f t="shared" si="1"/>
        <v>#DIV/0!</v>
      </c>
      <c r="H56" s="112"/>
      <c r="I56" s="90"/>
      <c r="M56" s="375"/>
      <c r="N56" s="375"/>
      <c r="O56" s="375"/>
      <c r="P56" s="375"/>
      <c r="Q56" s="375"/>
      <c r="R56" s="230"/>
    </row>
    <row r="57" spans="1:18" ht="23.25">
      <c r="A57" s="125" t="s">
        <v>521</v>
      </c>
      <c r="B57" s="107" t="s">
        <v>391</v>
      </c>
      <c r="C57" s="108">
        <v>0</v>
      </c>
      <c r="D57" s="82">
        <v>0</v>
      </c>
      <c r="E57" s="82">
        <v>0</v>
      </c>
      <c r="F57" s="147">
        <f t="shared" si="0"/>
        <v>0</v>
      </c>
      <c r="G57" s="148" t="e">
        <f t="shared" si="1"/>
        <v>#DIV/0!</v>
      </c>
      <c r="H57" s="112"/>
      <c r="I57" s="90"/>
      <c r="M57" s="375"/>
      <c r="N57" s="375"/>
      <c r="O57" s="375"/>
      <c r="P57" s="375"/>
      <c r="Q57" s="375"/>
      <c r="R57" s="230"/>
    </row>
    <row r="58" spans="1:18" ht="19.5" customHeight="1">
      <c r="A58" s="193" t="s">
        <v>496</v>
      </c>
      <c r="B58" s="107" t="s">
        <v>392</v>
      </c>
      <c r="C58" s="108">
        <v>0</v>
      </c>
      <c r="D58" s="82">
        <v>0</v>
      </c>
      <c r="E58" s="82">
        <v>0</v>
      </c>
      <c r="F58" s="147">
        <f t="shared" si="0"/>
        <v>0</v>
      </c>
      <c r="G58" s="148" t="e">
        <f t="shared" si="1"/>
        <v>#DIV/0!</v>
      </c>
      <c r="H58" s="164"/>
      <c r="I58" s="90"/>
      <c r="M58" s="375"/>
      <c r="N58" s="375"/>
      <c r="O58" s="375"/>
      <c r="P58" s="375"/>
      <c r="Q58" s="375"/>
      <c r="R58" s="230"/>
    </row>
    <row r="59" spans="1:18" ht="23.25">
      <c r="A59" s="125" t="s">
        <v>497</v>
      </c>
      <c r="B59" s="107" t="s">
        <v>393</v>
      </c>
      <c r="C59" s="108">
        <v>0</v>
      </c>
      <c r="D59" s="82">
        <v>0</v>
      </c>
      <c r="E59" s="82">
        <v>0</v>
      </c>
      <c r="F59" s="147">
        <f t="shared" si="0"/>
        <v>0</v>
      </c>
      <c r="G59" s="148" t="e">
        <f t="shared" si="1"/>
        <v>#DIV/0!</v>
      </c>
      <c r="H59" s="112"/>
      <c r="I59" s="90"/>
      <c r="M59" s="375"/>
      <c r="N59" s="375"/>
      <c r="O59" s="375"/>
      <c r="P59" s="375"/>
      <c r="Q59" s="375"/>
      <c r="R59" s="230"/>
    </row>
    <row r="60" spans="1:18" ht="20.25">
      <c r="A60" s="125" t="s">
        <v>494</v>
      </c>
      <c r="B60" s="107" t="s">
        <v>394</v>
      </c>
      <c r="C60" s="108">
        <v>0</v>
      </c>
      <c r="D60" s="82">
        <v>0</v>
      </c>
      <c r="E60" s="82">
        <v>0</v>
      </c>
      <c r="F60" s="147">
        <f t="shared" si="0"/>
        <v>0</v>
      </c>
      <c r="G60" s="148" t="e">
        <f t="shared" si="1"/>
        <v>#DIV/0!</v>
      </c>
      <c r="H60" s="112"/>
      <c r="I60" s="90"/>
      <c r="M60" s="380"/>
      <c r="N60" s="380"/>
      <c r="O60" s="380"/>
      <c r="P60" s="380"/>
      <c r="Q60" s="380"/>
      <c r="R60" s="230"/>
    </row>
    <row r="61" spans="1:18" ht="25.5" customHeight="1">
      <c r="A61" s="125" t="s">
        <v>567</v>
      </c>
      <c r="B61" s="107" t="s">
        <v>395</v>
      </c>
      <c r="C61" s="108">
        <v>179</v>
      </c>
      <c r="D61" s="82">
        <v>0</v>
      </c>
      <c r="E61" s="82">
        <v>0</v>
      </c>
      <c r="F61" s="147">
        <f t="shared" si="0"/>
        <v>0</v>
      </c>
      <c r="G61" s="148" t="e">
        <f t="shared" si="1"/>
        <v>#DIV/0!</v>
      </c>
      <c r="H61" s="112"/>
      <c r="I61" s="90"/>
      <c r="M61" s="375"/>
      <c r="N61" s="375"/>
      <c r="O61" s="375"/>
      <c r="P61" s="375"/>
      <c r="Q61" s="375"/>
      <c r="R61" s="230"/>
    </row>
    <row r="62" spans="1:18" ht="18" customHeight="1">
      <c r="A62" s="125" t="s">
        <v>495</v>
      </c>
      <c r="B62" s="107" t="s">
        <v>480</v>
      </c>
      <c r="C62" s="108">
        <v>0</v>
      </c>
      <c r="D62" s="160">
        <v>0</v>
      </c>
      <c r="E62" s="160">
        <v>0</v>
      </c>
      <c r="F62" s="147">
        <f t="shared" si="0"/>
        <v>0</v>
      </c>
      <c r="G62" s="148" t="e">
        <f t="shared" si="1"/>
        <v>#DIV/0!</v>
      </c>
      <c r="H62" s="164"/>
      <c r="I62" s="90"/>
      <c r="M62" s="375"/>
      <c r="N62" s="375"/>
      <c r="O62" s="375"/>
      <c r="P62" s="375"/>
      <c r="Q62" s="375"/>
      <c r="R62" s="230"/>
    </row>
    <row r="63" spans="1:18" ht="22.5" customHeight="1">
      <c r="A63" s="125" t="s">
        <v>453</v>
      </c>
      <c r="B63" s="107" t="s">
        <v>415</v>
      </c>
      <c r="C63" s="108">
        <v>0</v>
      </c>
      <c r="D63" s="108">
        <v>0</v>
      </c>
      <c r="E63" s="108">
        <v>0</v>
      </c>
      <c r="F63" s="147">
        <f t="shared" si="0"/>
        <v>0</v>
      </c>
      <c r="G63" s="148" t="e">
        <f t="shared" si="1"/>
        <v>#DIV/0!</v>
      </c>
      <c r="H63" s="164"/>
      <c r="I63" s="90"/>
      <c r="M63" s="375"/>
      <c r="N63" s="375"/>
      <c r="O63" s="375"/>
      <c r="P63" s="375"/>
      <c r="Q63" s="375"/>
      <c r="R63" s="230"/>
    </row>
    <row r="64" spans="1:18" ht="22.5" customHeight="1">
      <c r="A64" s="125" t="s">
        <v>492</v>
      </c>
      <c r="B64" s="107" t="s">
        <v>522</v>
      </c>
      <c r="C64" s="108">
        <v>0</v>
      </c>
      <c r="D64" s="108">
        <v>0</v>
      </c>
      <c r="E64" s="108">
        <v>0</v>
      </c>
      <c r="F64" s="147">
        <f t="shared" si="0"/>
        <v>0</v>
      </c>
      <c r="G64" s="148" t="e">
        <f t="shared" si="1"/>
        <v>#DIV/0!</v>
      </c>
      <c r="H64" s="164"/>
      <c r="I64" s="90"/>
      <c r="M64" s="375"/>
      <c r="N64" s="375"/>
      <c r="O64" s="375"/>
      <c r="P64" s="375"/>
      <c r="Q64" s="375"/>
      <c r="R64" s="230"/>
    </row>
    <row r="65" spans="1:18" ht="15" customHeight="1">
      <c r="A65" s="125" t="s">
        <v>446</v>
      </c>
      <c r="B65" s="107" t="s">
        <v>416</v>
      </c>
      <c r="C65" s="281">
        <v>0</v>
      </c>
      <c r="D65" s="108">
        <v>0</v>
      </c>
      <c r="E65" s="108">
        <v>0</v>
      </c>
      <c r="F65" s="147">
        <f t="shared" si="0"/>
        <v>0</v>
      </c>
      <c r="G65" s="148" t="e">
        <f t="shared" si="1"/>
        <v>#DIV/0!</v>
      </c>
      <c r="H65" s="164"/>
      <c r="I65" s="90"/>
      <c r="M65" s="375"/>
      <c r="N65" s="375"/>
      <c r="O65" s="375"/>
      <c r="P65" s="375"/>
      <c r="Q65" s="375"/>
      <c r="R65" s="230"/>
    </row>
    <row r="66" spans="1:18" ht="16.5" customHeight="1">
      <c r="A66" s="125" t="s">
        <v>447</v>
      </c>
      <c r="B66" s="107" t="s">
        <v>523</v>
      </c>
      <c r="C66" s="281">
        <v>0</v>
      </c>
      <c r="D66" s="108">
        <v>0</v>
      </c>
      <c r="E66" s="108">
        <v>0</v>
      </c>
      <c r="F66" s="147">
        <f t="shared" si="0"/>
        <v>0</v>
      </c>
      <c r="G66" s="148" t="e">
        <f t="shared" si="1"/>
        <v>#DIV/0!</v>
      </c>
      <c r="H66" s="164"/>
      <c r="I66" s="90"/>
      <c r="M66" s="280"/>
      <c r="N66" s="280"/>
      <c r="O66" s="280"/>
      <c r="P66" s="280"/>
      <c r="Q66" s="280"/>
      <c r="R66" s="280"/>
    </row>
    <row r="67" spans="1:18" ht="13.5" customHeight="1">
      <c r="A67" s="109" t="s">
        <v>448</v>
      </c>
      <c r="B67" s="107" t="s">
        <v>417</v>
      </c>
      <c r="C67" s="281">
        <v>0</v>
      </c>
      <c r="D67" s="108">
        <v>0</v>
      </c>
      <c r="E67" s="108">
        <v>0</v>
      </c>
      <c r="F67" s="147">
        <f t="shared" si="0"/>
        <v>0</v>
      </c>
      <c r="G67" s="148" t="e">
        <f t="shared" si="1"/>
        <v>#DIV/0!</v>
      </c>
      <c r="H67" s="164"/>
      <c r="I67" s="90"/>
    </row>
    <row r="68" spans="1:18" ht="15.75" customHeight="1">
      <c r="A68" s="125" t="s">
        <v>449</v>
      </c>
      <c r="B68" s="107" t="s">
        <v>418</v>
      </c>
      <c r="C68" s="281">
        <v>0</v>
      </c>
      <c r="D68" s="108">
        <v>0</v>
      </c>
      <c r="E68" s="108">
        <v>0</v>
      </c>
      <c r="F68" s="147">
        <f t="shared" ref="F68" si="5">E68-D68</f>
        <v>0</v>
      </c>
      <c r="G68" s="148" t="e">
        <f t="shared" si="1"/>
        <v>#DIV/0!</v>
      </c>
      <c r="H68" s="279"/>
      <c r="I68" s="90"/>
    </row>
    <row r="69" spans="1:18" ht="18" customHeight="1">
      <c r="A69" s="125" t="s">
        <v>503</v>
      </c>
      <c r="B69" s="107" t="s">
        <v>422</v>
      </c>
      <c r="C69" s="173">
        <v>0</v>
      </c>
      <c r="D69" s="108">
        <v>0</v>
      </c>
      <c r="E69" s="108">
        <v>0</v>
      </c>
      <c r="F69" s="147">
        <f t="shared" si="0"/>
        <v>0</v>
      </c>
      <c r="G69" s="148" t="e">
        <f t="shared" si="1"/>
        <v>#DIV/0!</v>
      </c>
      <c r="H69" s="164"/>
      <c r="I69" s="90"/>
    </row>
    <row r="70" spans="1:18" ht="18" customHeight="1">
      <c r="A70" s="125" t="s">
        <v>495</v>
      </c>
      <c r="B70" s="107" t="s">
        <v>498</v>
      </c>
      <c r="C70" s="173">
        <v>0</v>
      </c>
      <c r="D70" s="108">
        <v>0</v>
      </c>
      <c r="E70" s="108">
        <v>0</v>
      </c>
      <c r="F70" s="147">
        <f t="shared" si="0"/>
        <v>0</v>
      </c>
      <c r="G70" s="148" t="e">
        <f t="shared" si="1"/>
        <v>#DIV/0!</v>
      </c>
      <c r="H70" s="164"/>
      <c r="I70" s="90"/>
    </row>
    <row r="71" spans="1:18" ht="18" customHeight="1">
      <c r="A71" s="125" t="s">
        <v>453</v>
      </c>
      <c r="B71" s="107" t="s">
        <v>423</v>
      </c>
      <c r="C71" s="173">
        <v>0</v>
      </c>
      <c r="D71" s="108">
        <v>0</v>
      </c>
      <c r="E71" s="108">
        <v>0</v>
      </c>
      <c r="F71" s="147">
        <f t="shared" si="0"/>
        <v>0</v>
      </c>
      <c r="G71" s="148" t="e">
        <f t="shared" si="1"/>
        <v>#DIV/0!</v>
      </c>
      <c r="H71" s="164"/>
      <c r="I71" s="92"/>
    </row>
    <row r="72" spans="1:18" ht="32.25" hidden="1" customHeight="1">
      <c r="A72" s="109" t="s">
        <v>492</v>
      </c>
      <c r="B72" s="226" t="s">
        <v>462</v>
      </c>
      <c r="C72" s="173"/>
      <c r="D72" s="108">
        <v>0</v>
      </c>
      <c r="E72" s="108"/>
      <c r="F72" s="147"/>
      <c r="G72" s="148" t="e">
        <f t="shared" si="1"/>
        <v>#DIV/0!</v>
      </c>
      <c r="H72" s="164"/>
      <c r="I72" s="92"/>
    </row>
    <row r="73" spans="1:18" ht="36.75" hidden="1" customHeight="1">
      <c r="A73" s="109" t="s">
        <v>446</v>
      </c>
      <c r="B73" s="226" t="s">
        <v>463</v>
      </c>
      <c r="C73" s="169"/>
      <c r="D73" s="170"/>
      <c r="E73" s="170"/>
      <c r="F73" s="147">
        <f t="shared" si="0"/>
        <v>0</v>
      </c>
      <c r="G73" s="148" t="e">
        <f t="shared" si="1"/>
        <v>#DIV/0!</v>
      </c>
      <c r="H73" s="164"/>
      <c r="I73" s="92"/>
    </row>
    <row r="74" spans="1:18" ht="31.5" hidden="1" customHeight="1">
      <c r="A74" s="109" t="s">
        <v>447</v>
      </c>
      <c r="B74" s="226" t="s">
        <v>464</v>
      </c>
      <c r="C74" s="169"/>
      <c r="D74" s="170"/>
      <c r="E74" s="170"/>
      <c r="F74" s="147">
        <f t="shared" si="0"/>
        <v>0</v>
      </c>
      <c r="G74" s="148" t="e">
        <f t="shared" si="1"/>
        <v>#DIV/0!</v>
      </c>
      <c r="H74" s="164"/>
      <c r="I74" s="92"/>
    </row>
    <row r="75" spans="1:18" ht="33" hidden="1" customHeight="1">
      <c r="A75" s="109" t="s">
        <v>448</v>
      </c>
      <c r="B75" s="226" t="s">
        <v>465</v>
      </c>
      <c r="C75" s="169"/>
      <c r="D75" s="170"/>
      <c r="E75" s="170"/>
      <c r="F75" s="147">
        <f t="shared" si="0"/>
        <v>0</v>
      </c>
      <c r="G75" s="148" t="e">
        <f t="shared" si="1"/>
        <v>#DIV/0!</v>
      </c>
      <c r="H75" s="164"/>
      <c r="I75" s="92"/>
    </row>
    <row r="76" spans="1:18" ht="30" hidden="1" customHeight="1">
      <c r="A76" s="109" t="s">
        <v>449</v>
      </c>
      <c r="B76" s="226" t="s">
        <v>512</v>
      </c>
      <c r="C76" s="169"/>
      <c r="D76" s="170"/>
      <c r="E76" s="170"/>
      <c r="F76" s="147">
        <f t="shared" si="0"/>
        <v>0</v>
      </c>
      <c r="G76" s="148" t="e">
        <f t="shared" si="1"/>
        <v>#DIV/0!</v>
      </c>
      <c r="H76" s="164"/>
      <c r="I76" s="92"/>
    </row>
    <row r="77" spans="1:18" ht="31.5" customHeight="1">
      <c r="A77" s="106" t="s">
        <v>102</v>
      </c>
      <c r="B77" s="8">
        <v>3280</v>
      </c>
      <c r="C77" s="104">
        <f>C78+C79+C80</f>
        <v>341826</v>
      </c>
      <c r="D77" s="104">
        <f t="shared" ref="D77:E77" si="6">D78+D80+D79</f>
        <v>980293</v>
      </c>
      <c r="E77" s="104">
        <f t="shared" si="6"/>
        <v>410878</v>
      </c>
      <c r="F77" s="147">
        <f>E77-D77</f>
        <v>-569415</v>
      </c>
      <c r="G77" s="148">
        <f t="shared" si="1"/>
        <v>41.913795161242604</v>
      </c>
      <c r="H77" s="164"/>
      <c r="I77" s="325"/>
    </row>
    <row r="78" spans="1:18" ht="52.5" customHeight="1">
      <c r="A78" s="240" t="s">
        <v>434</v>
      </c>
      <c r="B78" s="241" t="s">
        <v>408</v>
      </c>
      <c r="C78" s="319">
        <f>24918+4984</f>
        <v>29902</v>
      </c>
      <c r="D78" s="269">
        <v>51390</v>
      </c>
      <c r="E78" s="283">
        <f>38554+7711</f>
        <v>46265</v>
      </c>
      <c r="F78" s="147">
        <f>E78-D78</f>
        <v>-5125</v>
      </c>
      <c r="G78" s="148">
        <f t="shared" si="1"/>
        <v>90.027242654212884</v>
      </c>
      <c r="H78" s="164"/>
      <c r="I78" s="326"/>
    </row>
    <row r="79" spans="1:18" ht="45.75" customHeight="1">
      <c r="A79" s="240" t="s">
        <v>426</v>
      </c>
      <c r="B79" s="241" t="s">
        <v>409</v>
      </c>
      <c r="C79" s="245">
        <f>247857+49674+12800</f>
        <v>310331</v>
      </c>
      <c r="D79" s="269">
        <v>919503</v>
      </c>
      <c r="E79" s="319">
        <f>303844+60769</f>
        <v>364613</v>
      </c>
      <c r="F79" s="147">
        <f>E79-D79</f>
        <v>-554890</v>
      </c>
      <c r="G79" s="148">
        <f t="shared" si="1"/>
        <v>39.653269211737211</v>
      </c>
      <c r="H79" s="164"/>
      <c r="M79" s="280"/>
      <c r="N79" s="280"/>
      <c r="O79" s="280"/>
      <c r="P79" s="280"/>
      <c r="Q79" s="280"/>
      <c r="R79" s="280"/>
    </row>
    <row r="80" spans="1:18" ht="32.25" customHeight="1">
      <c r="A80" s="240" t="s">
        <v>407</v>
      </c>
      <c r="B80" s="239" t="s">
        <v>427</v>
      </c>
      <c r="C80" s="319">
        <v>1593</v>
      </c>
      <c r="D80" s="269">
        <v>9400</v>
      </c>
      <c r="E80" s="238">
        <v>0</v>
      </c>
      <c r="F80" s="147">
        <f>E80-D80</f>
        <v>-9400</v>
      </c>
      <c r="G80" s="148">
        <f t="shared" si="1"/>
        <v>0</v>
      </c>
      <c r="H80" s="164"/>
    </row>
    <row r="81" spans="1:13" ht="30.75" customHeight="1">
      <c r="A81" s="106" t="s">
        <v>103</v>
      </c>
      <c r="B81" s="8">
        <v>3290</v>
      </c>
      <c r="C81" s="104">
        <v>0</v>
      </c>
      <c r="D81" s="83">
        <v>0</v>
      </c>
      <c r="E81" s="83">
        <f>E82+E83</f>
        <v>0</v>
      </c>
      <c r="F81" s="147">
        <f t="shared" si="0"/>
        <v>0</v>
      </c>
      <c r="G81" s="148" t="e">
        <f t="shared" si="1"/>
        <v>#DIV/0!</v>
      </c>
      <c r="H81" s="114"/>
      <c r="I81" s="90"/>
    </row>
    <row r="82" spans="1:13" ht="18.75" customHeight="1">
      <c r="A82" s="175" t="s">
        <v>424</v>
      </c>
      <c r="B82" s="6" t="s">
        <v>425</v>
      </c>
      <c r="C82" s="170"/>
      <c r="D82" s="83"/>
      <c r="E82" s="83"/>
      <c r="F82" s="147">
        <f t="shared" si="0"/>
        <v>0</v>
      </c>
      <c r="G82" s="148" t="e">
        <f t="shared" si="1"/>
        <v>#DIV/0!</v>
      </c>
      <c r="H82" s="114"/>
      <c r="I82" s="90"/>
    </row>
    <row r="83" spans="1:13" ht="18.75" customHeight="1">
      <c r="A83" s="228" t="s">
        <v>499</v>
      </c>
      <c r="B83" s="6" t="s">
        <v>500</v>
      </c>
      <c r="C83" s="225">
        <v>0</v>
      </c>
      <c r="D83" s="83"/>
      <c r="E83" s="83"/>
      <c r="F83" s="147">
        <f t="shared" ref="F83" si="7">E83-D83</f>
        <v>0</v>
      </c>
      <c r="G83" s="148" t="e">
        <f t="shared" si="1"/>
        <v>#DIV/0!</v>
      </c>
      <c r="H83" s="114"/>
      <c r="I83" s="90"/>
    </row>
    <row r="84" spans="1:13" ht="21" customHeight="1">
      <c r="A84" s="175" t="s">
        <v>52</v>
      </c>
      <c r="B84" s="6">
        <v>3300</v>
      </c>
      <c r="C84" s="170"/>
      <c r="D84" s="82">
        <v>0</v>
      </c>
      <c r="E84" s="82"/>
      <c r="F84" s="147">
        <f t="shared" si="0"/>
        <v>0</v>
      </c>
      <c r="G84" s="148" t="e">
        <f t="shared" si="1"/>
        <v>#DIV/0!</v>
      </c>
      <c r="H84" s="113"/>
      <c r="I84" s="90"/>
    </row>
    <row r="85" spans="1:13">
      <c r="A85" s="106" t="s">
        <v>95</v>
      </c>
      <c r="B85" s="8">
        <v>3310</v>
      </c>
      <c r="C85" s="83">
        <f>C86+C87+C96+C110</f>
        <v>5055</v>
      </c>
      <c r="D85" s="83">
        <f>D86+D87+D96+D110</f>
        <v>15901</v>
      </c>
      <c r="E85" s="83">
        <f>E86+E87+E96+E110</f>
        <v>6407</v>
      </c>
      <c r="F85" s="147">
        <f t="shared" si="0"/>
        <v>-9494</v>
      </c>
      <c r="G85" s="148">
        <f t="shared" si="1"/>
        <v>40.293063329350353</v>
      </c>
      <c r="H85" s="113"/>
    </row>
    <row r="86" spans="1:13" ht="23.25" customHeight="1">
      <c r="A86" s="175" t="s">
        <v>347</v>
      </c>
      <c r="B86" s="160" t="s">
        <v>346</v>
      </c>
      <c r="C86" s="170"/>
      <c r="D86" s="82"/>
      <c r="E86" s="82"/>
      <c r="F86" s="147">
        <f t="shared" ref="F86:F146" si="8">E86-D86</f>
        <v>0</v>
      </c>
      <c r="G86" s="148" t="e">
        <f t="shared" ref="G86:G146" si="9">E86/D86*100</f>
        <v>#DIV/0!</v>
      </c>
      <c r="H86" s="113"/>
      <c r="I86" s="90"/>
      <c r="K86" s="327"/>
      <c r="L86" s="327"/>
    </row>
    <row r="87" spans="1:13" ht="33" customHeight="1">
      <c r="A87" s="175" t="s">
        <v>30</v>
      </c>
      <c r="B87" s="160" t="s">
        <v>348</v>
      </c>
      <c r="C87" s="170">
        <f>SUM(C88:C95)</f>
        <v>303</v>
      </c>
      <c r="D87" s="303">
        <f>SUM(D88:D95)</f>
        <v>1002</v>
      </c>
      <c r="E87" s="309">
        <f>SUM(E88:E95)</f>
        <v>866</v>
      </c>
      <c r="F87" s="147">
        <f t="shared" si="8"/>
        <v>-136</v>
      </c>
      <c r="G87" s="148">
        <f t="shared" si="9"/>
        <v>86.427145708582827</v>
      </c>
      <c r="H87" s="115"/>
      <c r="I87" s="328"/>
      <c r="J87" s="329"/>
    </row>
    <row r="88" spans="1:13" ht="21" customHeight="1">
      <c r="A88" s="291" t="s">
        <v>543</v>
      </c>
      <c r="B88" s="103" t="s">
        <v>396</v>
      </c>
      <c r="C88" s="170"/>
      <c r="D88" s="82">
        <v>21</v>
      </c>
      <c r="E88" s="82">
        <f>41+1</f>
        <v>42</v>
      </c>
      <c r="F88" s="147">
        <f t="shared" si="8"/>
        <v>21</v>
      </c>
      <c r="G88" s="148">
        <f t="shared" si="9"/>
        <v>200</v>
      </c>
      <c r="H88" s="112"/>
      <c r="I88" s="90"/>
      <c r="M88" s="132"/>
    </row>
    <row r="89" spans="1:13" ht="22.5" customHeight="1">
      <c r="A89" s="291" t="s">
        <v>544</v>
      </c>
      <c r="B89" s="103" t="s">
        <v>397</v>
      </c>
      <c r="C89" s="170"/>
      <c r="D89" s="82">
        <v>36</v>
      </c>
      <c r="E89" s="82"/>
      <c r="F89" s="147">
        <f t="shared" si="8"/>
        <v>-36</v>
      </c>
      <c r="G89" s="148">
        <f t="shared" si="9"/>
        <v>0</v>
      </c>
      <c r="H89" s="115"/>
      <c r="I89" s="90"/>
    </row>
    <row r="90" spans="1:13" ht="23.25" customHeight="1">
      <c r="A90" s="291" t="s">
        <v>545</v>
      </c>
      <c r="B90" s="103" t="s">
        <v>398</v>
      </c>
      <c r="C90" s="170">
        <v>122</v>
      </c>
      <c r="D90" s="82">
        <v>315</v>
      </c>
      <c r="E90" s="82">
        <f>154+2</f>
        <v>156</v>
      </c>
      <c r="F90" s="147">
        <f t="shared" si="8"/>
        <v>-159</v>
      </c>
      <c r="G90" s="148">
        <f t="shared" si="9"/>
        <v>49.523809523809526</v>
      </c>
      <c r="H90" s="112"/>
      <c r="I90" s="90"/>
    </row>
    <row r="91" spans="1:13" ht="23.25" customHeight="1">
      <c r="A91" s="291" t="s">
        <v>596</v>
      </c>
      <c r="B91" s="103" t="s">
        <v>414</v>
      </c>
      <c r="C91" s="281"/>
      <c r="D91" s="245"/>
      <c r="E91" s="282">
        <f>25+24</f>
        <v>49</v>
      </c>
      <c r="F91" s="147">
        <v>581</v>
      </c>
      <c r="G91" s="148" t="e">
        <f t="shared" si="9"/>
        <v>#DIV/0!</v>
      </c>
      <c r="H91" s="112"/>
      <c r="I91" s="90"/>
    </row>
    <row r="92" spans="1:13" ht="23.25" customHeight="1">
      <c r="A92" s="291" t="s">
        <v>599</v>
      </c>
      <c r="B92" s="103" t="s">
        <v>518</v>
      </c>
      <c r="C92" s="314"/>
      <c r="D92" s="245"/>
      <c r="E92" s="282">
        <v>20</v>
      </c>
      <c r="F92" s="147">
        <v>581</v>
      </c>
      <c r="G92" s="148" t="e">
        <f t="shared" si="9"/>
        <v>#DIV/0!</v>
      </c>
      <c r="H92" s="112"/>
      <c r="I92" s="90"/>
    </row>
    <row r="93" spans="1:13" ht="23.25" customHeight="1">
      <c r="A93" s="291" t="s">
        <v>597</v>
      </c>
      <c r="B93" s="103" t="s">
        <v>519</v>
      </c>
      <c r="C93" s="314"/>
      <c r="D93" s="245"/>
      <c r="E93" s="282">
        <f>97</f>
        <v>97</v>
      </c>
      <c r="F93" s="147">
        <v>581</v>
      </c>
      <c r="G93" s="148" t="e">
        <f t="shared" si="9"/>
        <v>#DIV/0!</v>
      </c>
      <c r="H93" s="112"/>
      <c r="I93" s="90"/>
    </row>
    <row r="94" spans="1:13" ht="23.25" customHeight="1">
      <c r="A94" s="291" t="s">
        <v>568</v>
      </c>
      <c r="B94" s="103" t="s">
        <v>595</v>
      </c>
      <c r="C94" s="281"/>
      <c r="D94" s="245">
        <v>0</v>
      </c>
      <c r="E94" s="282">
        <v>133</v>
      </c>
      <c r="F94" s="147">
        <v>50</v>
      </c>
      <c r="G94" s="148" t="e">
        <f t="shared" si="9"/>
        <v>#DIV/0!</v>
      </c>
      <c r="H94" s="112"/>
      <c r="I94" s="90"/>
    </row>
    <row r="95" spans="1:13" ht="21" customHeight="1">
      <c r="A95" s="5" t="s">
        <v>412</v>
      </c>
      <c r="B95" s="103" t="s">
        <v>598</v>
      </c>
      <c r="C95" s="170">
        <v>181</v>
      </c>
      <c r="D95" s="82">
        <v>630</v>
      </c>
      <c r="E95" s="108">
        <f>175+192+2</f>
        <v>369</v>
      </c>
      <c r="F95" s="147">
        <f t="shared" si="8"/>
        <v>-261</v>
      </c>
      <c r="G95" s="148">
        <f t="shared" si="9"/>
        <v>58.571428571428577</v>
      </c>
      <c r="H95" s="115"/>
      <c r="I95" s="90"/>
    </row>
    <row r="96" spans="1:13" ht="54.75" customHeight="1">
      <c r="A96" s="5" t="s">
        <v>454</v>
      </c>
      <c r="B96" s="160" t="s">
        <v>351</v>
      </c>
      <c r="C96" s="170">
        <v>4752</v>
      </c>
      <c r="D96" s="245">
        <f>SUM(D97:D109)</f>
        <v>14899</v>
      </c>
      <c r="E96" s="245">
        <f>SUM(E97:E109)</f>
        <v>5541</v>
      </c>
      <c r="F96" s="147">
        <f t="shared" si="8"/>
        <v>-9358</v>
      </c>
      <c r="G96" s="148">
        <f t="shared" si="9"/>
        <v>37.19041546412511</v>
      </c>
      <c r="H96" s="112"/>
      <c r="I96" s="328"/>
      <c r="J96" s="329"/>
    </row>
    <row r="97" spans="1:13" ht="157.5" customHeight="1">
      <c r="A97" s="293" t="s">
        <v>546</v>
      </c>
      <c r="B97" s="177" t="s">
        <v>504</v>
      </c>
      <c r="C97" s="173"/>
      <c r="D97" s="82">
        <v>365</v>
      </c>
      <c r="E97" s="82"/>
      <c r="F97" s="147">
        <f t="shared" si="8"/>
        <v>-365</v>
      </c>
      <c r="G97" s="148">
        <f t="shared" si="9"/>
        <v>0</v>
      </c>
      <c r="H97" s="112"/>
      <c r="I97" s="90"/>
    </row>
    <row r="98" spans="1:13" ht="74.25" customHeight="1">
      <c r="A98" s="311" t="s">
        <v>588</v>
      </c>
      <c r="B98" s="226" t="s">
        <v>386</v>
      </c>
      <c r="C98" s="227"/>
      <c r="D98" s="245">
        <v>0</v>
      </c>
      <c r="E98" s="245"/>
      <c r="F98" s="147">
        <f t="shared" si="8"/>
        <v>0</v>
      </c>
      <c r="G98" s="148" t="e">
        <f t="shared" si="9"/>
        <v>#DIV/0!</v>
      </c>
      <c r="H98" s="112"/>
      <c r="I98" s="90"/>
    </row>
    <row r="99" spans="1:13" ht="63.75" customHeight="1">
      <c r="A99" s="292" t="s">
        <v>547</v>
      </c>
      <c r="B99" s="176" t="s">
        <v>400</v>
      </c>
      <c r="C99" s="169">
        <v>0</v>
      </c>
      <c r="D99" s="82">
        <v>365</v>
      </c>
      <c r="E99" s="82"/>
      <c r="F99" s="147">
        <f t="shared" si="8"/>
        <v>-365</v>
      </c>
      <c r="G99" s="148">
        <f t="shared" si="9"/>
        <v>0</v>
      </c>
      <c r="H99" s="112"/>
      <c r="I99" s="90"/>
    </row>
    <row r="100" spans="1:13" ht="52.5" customHeight="1">
      <c r="A100" s="97" t="s">
        <v>549</v>
      </c>
      <c r="B100" s="176" t="s">
        <v>401</v>
      </c>
      <c r="C100" s="169"/>
      <c r="D100" s="82">
        <v>1281</v>
      </c>
      <c r="E100" s="82"/>
      <c r="F100" s="147">
        <f t="shared" si="8"/>
        <v>-1281</v>
      </c>
      <c r="G100" s="148">
        <f t="shared" si="9"/>
        <v>0</v>
      </c>
      <c r="H100" s="112"/>
      <c r="I100" s="90"/>
    </row>
    <row r="101" spans="1:13" ht="56.25" customHeight="1">
      <c r="A101" s="293" t="s">
        <v>548</v>
      </c>
      <c r="B101" s="176" t="s">
        <v>402</v>
      </c>
      <c r="C101" s="169"/>
      <c r="D101" s="82">
        <v>1325</v>
      </c>
      <c r="E101" s="82"/>
      <c r="F101" s="147">
        <f t="shared" si="8"/>
        <v>-1325</v>
      </c>
      <c r="G101" s="148">
        <f t="shared" si="9"/>
        <v>0</v>
      </c>
      <c r="H101" s="115"/>
      <c r="I101" s="90"/>
    </row>
    <row r="102" spans="1:13" ht="55.5" customHeight="1">
      <c r="A102" s="291" t="s">
        <v>555</v>
      </c>
      <c r="B102" s="176" t="s">
        <v>403</v>
      </c>
      <c r="C102" s="169"/>
      <c r="D102" s="82">
        <v>0</v>
      </c>
      <c r="E102" s="245">
        <f>1879+23+1757+21</f>
        <v>3680</v>
      </c>
      <c r="F102" s="147">
        <f t="shared" si="8"/>
        <v>3680</v>
      </c>
      <c r="G102" s="148" t="e">
        <f t="shared" si="9"/>
        <v>#DIV/0!</v>
      </c>
      <c r="H102" s="112"/>
      <c r="I102" s="90"/>
    </row>
    <row r="103" spans="1:13" ht="48" customHeight="1">
      <c r="A103" s="291" t="s">
        <v>550</v>
      </c>
      <c r="B103" s="176" t="s">
        <v>404</v>
      </c>
      <c r="C103" s="169"/>
      <c r="D103" s="269">
        <v>1166</v>
      </c>
      <c r="E103" s="82"/>
      <c r="F103" s="147">
        <f t="shared" si="8"/>
        <v>-1166</v>
      </c>
      <c r="G103" s="148">
        <f t="shared" si="9"/>
        <v>0</v>
      </c>
      <c r="H103" s="112"/>
      <c r="I103" s="90"/>
    </row>
    <row r="104" spans="1:13" ht="51.75" customHeight="1">
      <c r="A104" s="292" t="s">
        <v>551</v>
      </c>
      <c r="B104" s="176" t="s">
        <v>410</v>
      </c>
      <c r="C104" s="169"/>
      <c r="D104" s="246">
        <v>0</v>
      </c>
      <c r="E104" s="82">
        <f>1057+14</f>
        <v>1071</v>
      </c>
      <c r="F104" s="147">
        <f t="shared" si="8"/>
        <v>1071</v>
      </c>
      <c r="G104" s="148" t="e">
        <f t="shared" si="9"/>
        <v>#DIV/0!</v>
      </c>
      <c r="H104" s="112"/>
      <c r="I104" s="90"/>
    </row>
    <row r="105" spans="1:13" ht="51.75" customHeight="1">
      <c r="A105" s="291" t="s">
        <v>552</v>
      </c>
      <c r="B105" s="176" t="s">
        <v>411</v>
      </c>
      <c r="C105" s="169"/>
      <c r="D105" s="269">
        <v>1500</v>
      </c>
      <c r="E105" s="82">
        <f>29</f>
        <v>29</v>
      </c>
      <c r="F105" s="147">
        <f t="shared" si="8"/>
        <v>-1471</v>
      </c>
      <c r="G105" s="148">
        <f t="shared" si="9"/>
        <v>1.9333333333333333</v>
      </c>
      <c r="H105" s="112"/>
      <c r="I105" s="90"/>
    </row>
    <row r="106" spans="1:13" ht="34.5" customHeight="1">
      <c r="A106" s="291" t="s">
        <v>553</v>
      </c>
      <c r="B106" s="176" t="s">
        <v>413</v>
      </c>
      <c r="C106" s="169">
        <v>4752</v>
      </c>
      <c r="D106" s="269">
        <v>5925</v>
      </c>
      <c r="E106" s="82"/>
      <c r="F106" s="147">
        <f t="shared" si="8"/>
        <v>-5925</v>
      </c>
      <c r="G106" s="148">
        <f t="shared" si="9"/>
        <v>0</v>
      </c>
      <c r="H106" s="112"/>
      <c r="I106" s="90"/>
    </row>
    <row r="107" spans="1:13" ht="31.5" customHeight="1">
      <c r="A107" s="292" t="s">
        <v>554</v>
      </c>
      <c r="B107" s="176" t="s">
        <v>419</v>
      </c>
      <c r="C107" s="169"/>
      <c r="D107" s="246">
        <v>2972</v>
      </c>
      <c r="E107" s="82"/>
      <c r="F107" s="147">
        <f t="shared" si="8"/>
        <v>-2972</v>
      </c>
      <c r="G107" s="148">
        <f t="shared" si="9"/>
        <v>0</v>
      </c>
      <c r="H107" s="112"/>
      <c r="I107" s="90"/>
    </row>
    <row r="108" spans="1:13" ht="31.5" customHeight="1">
      <c r="A108" s="316" t="s">
        <v>594</v>
      </c>
      <c r="B108" s="176" t="s">
        <v>420</v>
      </c>
      <c r="C108" s="315"/>
      <c r="D108" s="246">
        <v>0</v>
      </c>
      <c r="E108" s="245">
        <f>335+4</f>
        <v>339</v>
      </c>
      <c r="F108" s="147">
        <f t="shared" si="8"/>
        <v>339</v>
      </c>
      <c r="G108" s="148" t="e">
        <f t="shared" si="9"/>
        <v>#DIV/0!</v>
      </c>
      <c r="H108" s="112"/>
      <c r="I108" s="90"/>
    </row>
    <row r="109" spans="1:13" ht="54" customHeight="1">
      <c r="A109" s="97" t="s">
        <v>592</v>
      </c>
      <c r="B109" s="176" t="s">
        <v>593</v>
      </c>
      <c r="C109" s="169"/>
      <c r="D109" s="82">
        <v>0</v>
      </c>
      <c r="E109" s="82">
        <f>417+5</f>
        <v>422</v>
      </c>
      <c r="F109" s="147">
        <f t="shared" si="8"/>
        <v>422</v>
      </c>
      <c r="G109" s="148" t="e">
        <f t="shared" si="9"/>
        <v>#DIV/0!</v>
      </c>
      <c r="H109" s="112"/>
      <c r="I109" s="90"/>
    </row>
    <row r="110" spans="1:13" ht="21" customHeight="1">
      <c r="A110" s="97" t="s">
        <v>399</v>
      </c>
      <c r="B110" s="174" t="s">
        <v>455</v>
      </c>
      <c r="C110" s="169"/>
      <c r="D110" s="170"/>
      <c r="E110" s="170"/>
      <c r="F110" s="147">
        <f t="shared" si="8"/>
        <v>0</v>
      </c>
      <c r="G110" s="148" t="e">
        <f t="shared" si="9"/>
        <v>#DIV/0!</v>
      </c>
      <c r="H110" s="112"/>
      <c r="I110" s="90"/>
    </row>
    <row r="111" spans="1:13" ht="40.5" customHeight="1">
      <c r="A111" s="28" t="s">
        <v>132</v>
      </c>
      <c r="B111" s="8">
        <v>3320</v>
      </c>
      <c r="C111" s="156">
        <f>(C35+C36+C37+C39+C40+C41+C42)-(C50+C77+C81+C84+C85)</f>
        <v>-347060</v>
      </c>
      <c r="D111" s="156">
        <f>(D35+D36+D37+D39+D40+D41+D42)-(D50+D77+D81+D84+D85)</f>
        <v>-1002</v>
      </c>
      <c r="E111" s="156">
        <f>(E35+E36+E37+E39+E40+E41+E42)-(E50+E77+E81+E84+E85)</f>
        <v>-82015</v>
      </c>
      <c r="F111" s="147">
        <f t="shared" si="8"/>
        <v>-81013</v>
      </c>
      <c r="G111" s="148">
        <f t="shared" si="9"/>
        <v>8185.1297405189625</v>
      </c>
      <c r="H111" s="112"/>
      <c r="I111" s="90"/>
      <c r="K111" s="16"/>
      <c r="L111" s="16"/>
      <c r="M111" s="13"/>
    </row>
    <row r="112" spans="1:13" ht="18.75" customHeight="1">
      <c r="A112" s="372" t="s">
        <v>133</v>
      </c>
      <c r="B112" s="373"/>
      <c r="C112" s="373"/>
      <c r="D112" s="373"/>
      <c r="E112" s="373"/>
      <c r="F112" s="373"/>
      <c r="G112" s="374"/>
      <c r="H112" s="112"/>
      <c r="I112" s="90"/>
    </row>
    <row r="113" spans="1:9" ht="24" customHeight="1">
      <c r="A113" s="28" t="s">
        <v>216</v>
      </c>
      <c r="B113" s="6"/>
      <c r="C113" s="170"/>
      <c r="D113" s="170"/>
      <c r="E113" s="170"/>
      <c r="F113" s="147">
        <f t="shared" si="8"/>
        <v>0</v>
      </c>
      <c r="G113" s="148" t="e">
        <f t="shared" si="9"/>
        <v>#DIV/0!</v>
      </c>
      <c r="H113" s="114"/>
      <c r="I113" s="90"/>
    </row>
    <row r="114" spans="1:9" ht="21.75" customHeight="1">
      <c r="A114" s="22" t="s">
        <v>139</v>
      </c>
      <c r="B114" s="178">
        <v>3400</v>
      </c>
      <c r="C114" s="170">
        <v>27158</v>
      </c>
      <c r="D114" s="170">
        <v>0</v>
      </c>
      <c r="E114" s="170"/>
      <c r="F114" s="147">
        <f t="shared" si="8"/>
        <v>0</v>
      </c>
      <c r="G114" s="148" t="e">
        <f t="shared" si="9"/>
        <v>#DIV/0!</v>
      </c>
      <c r="H114" s="113">
        <v>0</v>
      </c>
      <c r="I114" s="90"/>
    </row>
    <row r="115" spans="1:9" ht="30" customHeight="1">
      <c r="A115" s="175" t="s">
        <v>75</v>
      </c>
      <c r="B115" s="6"/>
      <c r="C115" s="170"/>
      <c r="D115" s="170"/>
      <c r="E115" s="170"/>
      <c r="F115" s="147">
        <f t="shared" si="8"/>
        <v>0</v>
      </c>
      <c r="G115" s="148" t="e">
        <f t="shared" si="9"/>
        <v>#DIV/0!</v>
      </c>
      <c r="H115" s="188"/>
      <c r="I115" s="90"/>
    </row>
    <row r="116" spans="1:9">
      <c r="A116" s="5" t="s">
        <v>74</v>
      </c>
      <c r="B116" s="160">
        <v>3410</v>
      </c>
      <c r="C116" s="170"/>
      <c r="D116" s="170">
        <v>0</v>
      </c>
      <c r="E116" s="170"/>
      <c r="F116" s="147">
        <f t="shared" si="8"/>
        <v>0</v>
      </c>
      <c r="G116" s="148" t="e">
        <f t="shared" si="9"/>
        <v>#DIV/0!</v>
      </c>
      <c r="H116" s="20"/>
      <c r="I116" s="90"/>
    </row>
    <row r="117" spans="1:9" ht="20.100000000000001" customHeight="1">
      <c r="A117" s="5" t="s">
        <v>79</v>
      </c>
      <c r="B117" s="6">
        <v>3420</v>
      </c>
      <c r="C117" s="170"/>
      <c r="D117" s="170">
        <v>0</v>
      </c>
      <c r="E117" s="170"/>
      <c r="F117" s="147">
        <f t="shared" si="8"/>
        <v>0</v>
      </c>
      <c r="G117" s="148" t="e">
        <f t="shared" si="9"/>
        <v>#DIV/0!</v>
      </c>
      <c r="H117" s="113"/>
      <c r="I117" s="90"/>
    </row>
    <row r="118" spans="1:9" ht="20.100000000000001" customHeight="1">
      <c r="A118" s="5" t="s">
        <v>104</v>
      </c>
      <c r="B118" s="6">
        <v>3430</v>
      </c>
      <c r="C118" s="170"/>
      <c r="D118" s="170">
        <v>0</v>
      </c>
      <c r="E118" s="170"/>
      <c r="F118" s="147">
        <f t="shared" si="8"/>
        <v>0</v>
      </c>
      <c r="G118" s="148" t="e">
        <f t="shared" si="9"/>
        <v>#DIV/0!</v>
      </c>
      <c r="H118" s="113"/>
      <c r="I118" s="90"/>
    </row>
    <row r="119" spans="1:9" ht="34.5" customHeight="1">
      <c r="A119" s="175" t="s">
        <v>77</v>
      </c>
      <c r="B119" s="160"/>
      <c r="C119" s="170"/>
      <c r="D119" s="170"/>
      <c r="E119" s="170"/>
      <c r="F119" s="147">
        <f t="shared" si="8"/>
        <v>0</v>
      </c>
      <c r="G119" s="148" t="e">
        <f t="shared" si="9"/>
        <v>#DIV/0!</v>
      </c>
      <c r="H119" s="113"/>
      <c r="I119" s="90"/>
    </row>
    <row r="120" spans="1:9">
      <c r="A120" s="5" t="s">
        <v>74</v>
      </c>
      <c r="B120" s="160">
        <v>3440</v>
      </c>
      <c r="C120" s="170"/>
      <c r="D120" s="170">
        <v>0</v>
      </c>
      <c r="E120" s="170"/>
      <c r="F120" s="147">
        <f t="shared" si="8"/>
        <v>0</v>
      </c>
      <c r="G120" s="148" t="e">
        <f t="shared" si="9"/>
        <v>#DIV/0!</v>
      </c>
      <c r="H120" s="113"/>
      <c r="I120" s="90"/>
    </row>
    <row r="121" spans="1:9" ht="20.100000000000001" customHeight="1">
      <c r="A121" s="5" t="s">
        <v>79</v>
      </c>
      <c r="B121" s="160">
        <v>3450</v>
      </c>
      <c r="C121" s="170"/>
      <c r="D121" s="170">
        <v>0</v>
      </c>
      <c r="E121" s="170"/>
      <c r="F121" s="147">
        <f t="shared" si="8"/>
        <v>0</v>
      </c>
      <c r="G121" s="148" t="e">
        <f t="shared" si="9"/>
        <v>#DIV/0!</v>
      </c>
      <c r="H121" s="113"/>
      <c r="I121" s="90"/>
    </row>
    <row r="122" spans="1:9" ht="20.100000000000001" customHeight="1">
      <c r="A122" s="5" t="s">
        <v>104</v>
      </c>
      <c r="B122" s="160">
        <v>3460</v>
      </c>
      <c r="C122" s="170"/>
      <c r="D122" s="170">
        <v>0</v>
      </c>
      <c r="E122" s="170"/>
      <c r="F122" s="147">
        <f t="shared" si="8"/>
        <v>0</v>
      </c>
      <c r="G122" s="148" t="e">
        <f t="shared" si="9"/>
        <v>#DIV/0!</v>
      </c>
      <c r="H122" s="113"/>
      <c r="I122" s="90"/>
    </row>
    <row r="123" spans="1:9" ht="26.25" customHeight="1">
      <c r="A123" s="5" t="s">
        <v>99</v>
      </c>
      <c r="B123" s="160">
        <v>3470</v>
      </c>
      <c r="C123" s="319">
        <f>C124+C125+C126+C127</f>
        <v>334124</v>
      </c>
      <c r="D123" s="244">
        <f t="shared" ref="D123:F123" si="10">D124+D125+D126+D127</f>
        <v>0</v>
      </c>
      <c r="E123" s="244">
        <f>E124+E125+E126+E127</f>
        <v>0</v>
      </c>
      <c r="F123" s="244">
        <f t="shared" si="10"/>
        <v>0</v>
      </c>
      <c r="G123" s="148" t="e">
        <f t="shared" si="9"/>
        <v>#DIV/0!</v>
      </c>
      <c r="H123" s="113"/>
      <c r="I123" s="90"/>
    </row>
    <row r="124" spans="1:9" ht="57.75" customHeight="1">
      <c r="A124" s="248" t="s">
        <v>505</v>
      </c>
      <c r="B124" s="160" t="s">
        <v>377</v>
      </c>
      <c r="C124" s="319">
        <f>29902</f>
        <v>29902</v>
      </c>
      <c r="D124" s="277">
        <v>0</v>
      </c>
      <c r="E124" s="272"/>
      <c r="F124" s="147">
        <f t="shared" si="8"/>
        <v>0</v>
      </c>
      <c r="G124" s="148" t="e">
        <f t="shared" si="9"/>
        <v>#DIV/0!</v>
      </c>
      <c r="H124" s="113"/>
      <c r="I124" s="90"/>
    </row>
    <row r="125" spans="1:9" ht="60" customHeight="1">
      <c r="A125" s="249" t="s">
        <v>506</v>
      </c>
      <c r="B125" s="160" t="s">
        <v>405</v>
      </c>
      <c r="C125" s="319">
        <f>297531</f>
        <v>297531</v>
      </c>
      <c r="D125" s="277">
        <v>0</v>
      </c>
      <c r="E125" s="272"/>
      <c r="F125" s="147">
        <f t="shared" si="8"/>
        <v>0</v>
      </c>
      <c r="G125" s="148" t="e">
        <f t="shared" si="9"/>
        <v>#DIV/0!</v>
      </c>
      <c r="H125" s="113"/>
      <c r="I125" s="90"/>
    </row>
    <row r="126" spans="1:9" ht="70.5" customHeight="1">
      <c r="A126" s="250" t="s">
        <v>406</v>
      </c>
      <c r="B126" s="160" t="s">
        <v>460</v>
      </c>
      <c r="C126" s="319">
        <v>1578</v>
      </c>
      <c r="D126" s="277">
        <v>0</v>
      </c>
      <c r="E126" s="272"/>
      <c r="F126" s="147">
        <f t="shared" si="8"/>
        <v>0</v>
      </c>
      <c r="G126" s="148" t="e">
        <f t="shared" si="9"/>
        <v>#DIV/0!</v>
      </c>
      <c r="H126" s="113"/>
      <c r="I126" s="90"/>
    </row>
    <row r="127" spans="1:9" ht="43.5" customHeight="1">
      <c r="A127" s="5" t="s">
        <v>507</v>
      </c>
      <c r="B127" s="160" t="s">
        <v>461</v>
      </c>
      <c r="C127" s="319">
        <v>5113</v>
      </c>
      <c r="D127" s="170">
        <v>0</v>
      </c>
      <c r="E127" s="272"/>
      <c r="F127" s="147">
        <f t="shared" si="8"/>
        <v>0</v>
      </c>
      <c r="G127" s="148" t="e">
        <f t="shared" si="9"/>
        <v>#DIV/0!</v>
      </c>
      <c r="H127" s="113"/>
      <c r="I127" s="90"/>
    </row>
    <row r="128" spans="1:9" ht="24.75" customHeight="1">
      <c r="A128" s="5" t="s">
        <v>100</v>
      </c>
      <c r="B128" s="6">
        <v>3480</v>
      </c>
      <c r="C128" s="170"/>
      <c r="D128" s="170">
        <v>0</v>
      </c>
      <c r="E128" s="170"/>
      <c r="F128" s="147">
        <f t="shared" si="8"/>
        <v>0</v>
      </c>
      <c r="G128" s="148" t="e">
        <f t="shared" si="9"/>
        <v>#DIV/0!</v>
      </c>
      <c r="H128" s="113"/>
      <c r="I128" s="90"/>
    </row>
    <row r="129" spans="1:9" ht="23.25" customHeight="1">
      <c r="A129" s="28" t="s">
        <v>217</v>
      </c>
      <c r="B129" s="6"/>
      <c r="C129" s="169"/>
      <c r="D129" s="169"/>
      <c r="E129" s="169"/>
      <c r="F129" s="147">
        <f t="shared" si="8"/>
        <v>0</v>
      </c>
      <c r="G129" s="148" t="e">
        <f t="shared" si="9"/>
        <v>#DIV/0!</v>
      </c>
      <c r="H129" s="113"/>
      <c r="I129" s="90"/>
    </row>
    <row r="130" spans="1:9" ht="28.5" customHeight="1">
      <c r="A130" s="102" t="s">
        <v>251</v>
      </c>
      <c r="B130" s="6">
        <v>3490</v>
      </c>
      <c r="C130" s="85"/>
      <c r="D130" s="85">
        <v>11</v>
      </c>
      <c r="E130" s="85"/>
      <c r="F130" s="147">
        <f t="shared" si="8"/>
        <v>-11</v>
      </c>
      <c r="G130" s="148">
        <f t="shared" si="9"/>
        <v>0</v>
      </c>
      <c r="H130" s="113"/>
      <c r="I130" s="90"/>
    </row>
    <row r="131" spans="1:9" ht="72" customHeight="1">
      <c r="A131" s="102" t="s">
        <v>252</v>
      </c>
      <c r="B131" s="6">
        <v>3500</v>
      </c>
      <c r="C131" s="85"/>
      <c r="D131" s="85">
        <v>38</v>
      </c>
      <c r="E131" s="85"/>
      <c r="F131" s="147">
        <f t="shared" si="8"/>
        <v>-38</v>
      </c>
      <c r="G131" s="148">
        <f t="shared" si="9"/>
        <v>0</v>
      </c>
      <c r="H131" s="113"/>
    </row>
    <row r="132" spans="1:9" ht="50.25" customHeight="1">
      <c r="A132" s="5" t="s">
        <v>78</v>
      </c>
      <c r="B132" s="160"/>
      <c r="C132" s="170"/>
      <c r="D132" s="170"/>
      <c r="E132" s="170"/>
      <c r="F132" s="147">
        <f t="shared" si="8"/>
        <v>0</v>
      </c>
      <c r="G132" s="148" t="e">
        <f t="shared" si="9"/>
        <v>#DIV/0!</v>
      </c>
      <c r="H132" s="113"/>
    </row>
    <row r="133" spans="1:9" ht="29.25" customHeight="1">
      <c r="A133" s="5" t="s">
        <v>74</v>
      </c>
      <c r="B133" s="160">
        <v>3510</v>
      </c>
      <c r="C133" s="170"/>
      <c r="D133" s="170">
        <v>0</v>
      </c>
      <c r="E133" s="170"/>
      <c r="F133" s="147">
        <f t="shared" si="8"/>
        <v>0</v>
      </c>
      <c r="G133" s="148" t="e">
        <f t="shared" si="9"/>
        <v>#DIV/0!</v>
      </c>
      <c r="H133" s="113"/>
    </row>
    <row r="134" spans="1:9" ht="23.25" customHeight="1">
      <c r="A134" s="5" t="s">
        <v>79</v>
      </c>
      <c r="B134" s="160">
        <v>3520</v>
      </c>
      <c r="C134" s="170"/>
      <c r="D134" s="170">
        <v>0</v>
      </c>
      <c r="E134" s="170"/>
      <c r="F134" s="147">
        <f t="shared" si="8"/>
        <v>0</v>
      </c>
      <c r="G134" s="148" t="e">
        <f t="shared" si="9"/>
        <v>#DIV/0!</v>
      </c>
      <c r="H134" s="113"/>
    </row>
    <row r="135" spans="1:9" ht="30" customHeight="1">
      <c r="A135" s="5" t="s">
        <v>104</v>
      </c>
      <c r="B135" s="6">
        <v>3530</v>
      </c>
      <c r="C135" s="170"/>
      <c r="D135" s="170">
        <v>0</v>
      </c>
      <c r="E135" s="170"/>
      <c r="F135" s="147">
        <f t="shared" si="8"/>
        <v>0</v>
      </c>
      <c r="G135" s="148" t="e">
        <f t="shared" si="9"/>
        <v>#DIV/0!</v>
      </c>
      <c r="H135" s="113"/>
    </row>
    <row r="136" spans="1:9" ht="45" customHeight="1">
      <c r="A136" s="5" t="s">
        <v>76</v>
      </c>
      <c r="B136" s="160"/>
      <c r="C136" s="170"/>
      <c r="D136" s="170"/>
      <c r="E136" s="170"/>
      <c r="F136" s="147">
        <f t="shared" si="8"/>
        <v>0</v>
      </c>
      <c r="G136" s="148" t="e">
        <f t="shared" si="9"/>
        <v>#DIV/0!</v>
      </c>
      <c r="H136" s="113"/>
    </row>
    <row r="137" spans="1:9" ht="22.5" customHeight="1">
      <c r="A137" s="5" t="s">
        <v>74</v>
      </c>
      <c r="B137" s="160">
        <v>3540</v>
      </c>
      <c r="C137" s="170"/>
      <c r="D137" s="170">
        <v>0</v>
      </c>
      <c r="E137" s="170"/>
      <c r="F137" s="147">
        <f t="shared" si="8"/>
        <v>0</v>
      </c>
      <c r="G137" s="148" t="e">
        <f t="shared" si="9"/>
        <v>#DIV/0!</v>
      </c>
      <c r="H137" s="113"/>
    </row>
    <row r="138" spans="1:9" ht="20.25" customHeight="1">
      <c r="A138" s="5" t="s">
        <v>79</v>
      </c>
      <c r="B138" s="160">
        <v>3550</v>
      </c>
      <c r="C138" s="170"/>
      <c r="D138" s="170">
        <v>0</v>
      </c>
      <c r="E138" s="170"/>
      <c r="F138" s="147">
        <f t="shared" si="8"/>
        <v>0</v>
      </c>
      <c r="G138" s="148" t="e">
        <f t="shared" si="9"/>
        <v>#DIV/0!</v>
      </c>
      <c r="H138" s="113"/>
    </row>
    <row r="139" spans="1:9" ht="20.100000000000001" customHeight="1">
      <c r="A139" s="5" t="s">
        <v>104</v>
      </c>
      <c r="B139" s="160">
        <v>3560</v>
      </c>
      <c r="C139" s="170"/>
      <c r="D139" s="170">
        <v>0</v>
      </c>
      <c r="E139" s="170"/>
      <c r="F139" s="147">
        <f t="shared" si="8"/>
        <v>0</v>
      </c>
      <c r="G139" s="148" t="e">
        <f t="shared" si="9"/>
        <v>#DIV/0!</v>
      </c>
      <c r="H139" s="113"/>
    </row>
    <row r="140" spans="1:9" ht="21.75" customHeight="1">
      <c r="A140" s="5" t="s">
        <v>95</v>
      </c>
      <c r="B140" s="160">
        <v>3570</v>
      </c>
      <c r="C140" s="169"/>
      <c r="D140" s="169">
        <v>0</v>
      </c>
      <c r="E140" s="169">
        <v>32</v>
      </c>
      <c r="F140" s="147">
        <f t="shared" si="8"/>
        <v>32</v>
      </c>
      <c r="G140" s="148" t="e">
        <f t="shared" si="9"/>
        <v>#DIV/0!</v>
      </c>
      <c r="H140" s="169">
        <v>0</v>
      </c>
    </row>
    <row r="141" spans="1:9" ht="38.25" customHeight="1">
      <c r="A141" s="28" t="s">
        <v>134</v>
      </c>
      <c r="B141" s="41">
        <v>3580</v>
      </c>
      <c r="C141" s="156">
        <f>(C114+C115+C119+C123)-(C130+C131+C132+C136+C140)</f>
        <v>361282</v>
      </c>
      <c r="D141" s="156">
        <f>(D114+D115+D119+D123)-(D130+D131+D132+D136+D140)</f>
        <v>-49</v>
      </c>
      <c r="E141" s="156">
        <f>(E114+E115+E119+E123)-(E130+E131+E132+E136+E140)</f>
        <v>-32</v>
      </c>
      <c r="F141" s="147">
        <f t="shared" si="8"/>
        <v>17</v>
      </c>
      <c r="G141" s="148">
        <f t="shared" si="9"/>
        <v>65.306122448979593</v>
      </c>
      <c r="H141" s="113"/>
    </row>
    <row r="142" spans="1:9" ht="20.100000000000001" customHeight="1">
      <c r="A142" s="5" t="s">
        <v>33</v>
      </c>
      <c r="B142" s="160"/>
      <c r="C142" s="170"/>
      <c r="D142" s="85"/>
      <c r="E142" s="85"/>
      <c r="F142" s="147">
        <f t="shared" si="8"/>
        <v>0</v>
      </c>
      <c r="G142" s="148" t="e">
        <f t="shared" si="9"/>
        <v>#DIV/0!</v>
      </c>
      <c r="H142" s="113"/>
    </row>
    <row r="143" spans="1:9" ht="20.100000000000001" customHeight="1">
      <c r="A143" s="7" t="s">
        <v>34</v>
      </c>
      <c r="B143" s="41">
        <v>3600</v>
      </c>
      <c r="C143" s="104">
        <v>19980</v>
      </c>
      <c r="D143" s="104">
        <v>39627</v>
      </c>
      <c r="E143" s="104">
        <v>35677</v>
      </c>
      <c r="F143" s="147">
        <f t="shared" si="8"/>
        <v>-3950</v>
      </c>
      <c r="G143" s="148">
        <f t="shared" si="9"/>
        <v>90.032048855578267</v>
      </c>
      <c r="H143" s="113"/>
    </row>
    <row r="144" spans="1:9" ht="20.100000000000001" customHeight="1">
      <c r="A144" s="99" t="s">
        <v>142</v>
      </c>
      <c r="B144" s="160">
        <v>3610</v>
      </c>
      <c r="C144" s="85"/>
      <c r="D144" s="85">
        <v>0</v>
      </c>
      <c r="E144" s="85"/>
      <c r="F144" s="147">
        <f t="shared" si="8"/>
        <v>0</v>
      </c>
      <c r="G144" s="148" t="e">
        <f t="shared" si="9"/>
        <v>#DIV/0!</v>
      </c>
      <c r="H144" s="113"/>
    </row>
    <row r="145" spans="1:18" ht="20.100000000000001" customHeight="1">
      <c r="A145" s="7" t="s">
        <v>53</v>
      </c>
      <c r="B145" s="41">
        <v>3620</v>
      </c>
      <c r="C145" s="156">
        <f>C141+C32+C111+C143</f>
        <v>18694</v>
      </c>
      <c r="D145" s="156">
        <f>D141+D32+D111+D143</f>
        <v>54125</v>
      </c>
      <c r="E145" s="156">
        <f>E141+E32+E111+E143</f>
        <v>189983</v>
      </c>
      <c r="F145" s="147">
        <f t="shared" si="8"/>
        <v>135858</v>
      </c>
      <c r="G145" s="148">
        <f t="shared" si="9"/>
        <v>351.0078521939954</v>
      </c>
      <c r="H145" s="113"/>
      <c r="I145" s="90"/>
    </row>
    <row r="146" spans="1:18" ht="31.5" customHeight="1">
      <c r="A146" s="7" t="s">
        <v>35</v>
      </c>
      <c r="B146" s="194">
        <v>3630</v>
      </c>
      <c r="C146" s="83">
        <f>C32+C111+C141</f>
        <v>-1286</v>
      </c>
      <c r="D146" s="83">
        <f>D32+D111+D141</f>
        <v>14498</v>
      </c>
      <c r="E146" s="83">
        <f>E32+E111+E141</f>
        <v>154306</v>
      </c>
      <c r="F146" s="147">
        <f t="shared" si="8"/>
        <v>139808</v>
      </c>
      <c r="G146" s="148">
        <f t="shared" si="9"/>
        <v>1064.3261139467513</v>
      </c>
      <c r="H146" s="113"/>
      <c r="I146" s="310"/>
    </row>
    <row r="147" spans="1:18">
      <c r="A147" s="70"/>
      <c r="B147" s="74"/>
      <c r="C147" s="195"/>
      <c r="D147" s="133"/>
      <c r="F147" s="133"/>
      <c r="G147" s="133"/>
      <c r="H147" s="113"/>
    </row>
    <row r="148" spans="1:18" ht="20.100000000000001" customHeight="1">
      <c r="A148" s="70"/>
      <c r="B148" s="74"/>
      <c r="C148" s="195"/>
      <c r="D148" s="133"/>
      <c r="E148" s="90"/>
      <c r="F148" s="133"/>
      <c r="G148" s="133"/>
      <c r="H148" s="113"/>
      <c r="I148" s="133"/>
    </row>
    <row r="149" spans="1:18" s="237" customFormat="1" ht="20.25" customHeight="1" thickBot="1">
      <c r="A149" s="63" t="s">
        <v>509</v>
      </c>
      <c r="B149" s="64"/>
      <c r="C149" s="242"/>
      <c r="D149" s="65"/>
      <c r="E149" s="347" t="s">
        <v>604</v>
      </c>
      <c r="F149" s="347"/>
      <c r="G149" s="347"/>
      <c r="I149" s="280"/>
      <c r="J149" s="280"/>
      <c r="K149" s="280"/>
      <c r="L149" s="280"/>
      <c r="M149" s="280"/>
      <c r="N149" s="280"/>
      <c r="O149" s="280"/>
      <c r="P149" s="280"/>
      <c r="Q149" s="280"/>
      <c r="R149" s="280"/>
    </row>
    <row r="150" spans="1:18" ht="21" customHeight="1">
      <c r="A150" s="235" t="s">
        <v>66</v>
      </c>
      <c r="B150" s="51"/>
      <c r="C150" s="105" t="s">
        <v>501</v>
      </c>
      <c r="D150" s="66"/>
      <c r="E150" s="344" t="s">
        <v>606</v>
      </c>
      <c r="F150" s="344"/>
      <c r="G150" s="344"/>
      <c r="K150" s="330"/>
      <c r="L150" s="330"/>
    </row>
    <row r="151" spans="1:18">
      <c r="C151" s="178"/>
      <c r="H151" s="111"/>
    </row>
    <row r="152" spans="1:18" s="10" customFormat="1" ht="20.100000000000001" customHeight="1">
      <c r="A152" s="1"/>
      <c r="B152" s="1"/>
      <c r="C152" s="178"/>
      <c r="D152" s="1"/>
      <c r="F152" s="1"/>
      <c r="G152" s="1"/>
      <c r="H152" s="111"/>
      <c r="I152" s="310"/>
    </row>
    <row r="153" spans="1:18" s="10" customFormat="1" ht="20.100000000000001" customHeight="1">
      <c r="A153" s="1"/>
      <c r="B153" s="1"/>
      <c r="C153" s="178"/>
      <c r="D153" s="1"/>
      <c r="F153" s="1"/>
      <c r="G153" s="1"/>
      <c r="H153" s="113"/>
      <c r="I153" s="1"/>
    </row>
    <row r="154" spans="1:18" s="10" customFormat="1">
      <c r="A154" s="1"/>
      <c r="B154" s="1"/>
      <c r="C154" s="178"/>
      <c r="D154" s="1"/>
      <c r="E154" s="1"/>
      <c r="F154" s="1"/>
      <c r="G154" s="1"/>
      <c r="H154" s="188"/>
      <c r="I154" s="1"/>
    </row>
    <row r="155" spans="1:18" s="10" customFormat="1" ht="20.100000000000001" customHeight="1">
      <c r="A155" s="1"/>
      <c r="B155" s="1"/>
      <c r="C155" s="178"/>
      <c r="D155" s="1"/>
      <c r="E155" s="1"/>
      <c r="F155" s="1"/>
      <c r="G155" s="1"/>
      <c r="H155" s="188"/>
      <c r="I155" s="1"/>
    </row>
    <row r="156" spans="1:18" s="10" customFormat="1" ht="20.100000000000001" customHeight="1">
      <c r="A156" s="1"/>
      <c r="B156" s="1"/>
      <c r="C156" s="178"/>
      <c r="D156" s="1"/>
      <c r="E156" s="1"/>
      <c r="F156" s="1"/>
      <c r="G156" s="1"/>
      <c r="H156" s="87"/>
      <c r="I156" s="1"/>
    </row>
    <row r="157" spans="1:18" s="10" customFormat="1" ht="20.100000000000001" customHeight="1">
      <c r="A157" s="1"/>
      <c r="B157" s="1"/>
      <c r="C157" s="178"/>
      <c r="D157" s="1"/>
      <c r="E157" s="1"/>
      <c r="F157" s="1"/>
      <c r="G157" s="1"/>
      <c r="H157" s="87"/>
      <c r="I157" s="1"/>
    </row>
    <row r="158" spans="1:18" s="10" customFormat="1" ht="20.100000000000001" customHeight="1">
      <c r="A158" s="1"/>
      <c r="B158" s="1"/>
      <c r="C158" s="178"/>
      <c r="D158" s="1"/>
      <c r="E158" s="1"/>
      <c r="F158" s="1"/>
      <c r="G158" s="1"/>
      <c r="H158" s="87"/>
      <c r="I158" s="1"/>
    </row>
    <row r="159" spans="1:18" s="10" customFormat="1" ht="20.100000000000001" customHeight="1">
      <c r="A159" s="1"/>
      <c r="B159" s="1"/>
      <c r="C159" s="178"/>
      <c r="D159" s="1"/>
      <c r="E159" s="1"/>
      <c r="F159" s="1"/>
      <c r="G159" s="1"/>
      <c r="H159" s="163"/>
    </row>
    <row r="160" spans="1:18" s="167" customFormat="1">
      <c r="A160" s="1"/>
      <c r="B160" s="1"/>
      <c r="C160" s="178"/>
      <c r="D160" s="1"/>
      <c r="E160" s="1"/>
      <c r="F160" s="1"/>
      <c r="G160" s="1"/>
      <c r="H160" s="157"/>
      <c r="I160" s="10"/>
      <c r="J160" s="280"/>
      <c r="K160" s="280"/>
      <c r="L160" s="280"/>
      <c r="M160" s="280"/>
      <c r="N160" s="280"/>
      <c r="O160" s="280"/>
      <c r="P160" s="280"/>
      <c r="Q160" s="280"/>
      <c r="R160" s="280"/>
    </row>
    <row r="161" spans="3:9" ht="20.100000000000001" customHeight="1">
      <c r="C161" s="178"/>
      <c r="I161" s="10"/>
    </row>
    <row r="162" spans="3:9">
      <c r="C162" s="178"/>
      <c r="I162" s="10"/>
    </row>
    <row r="163" spans="3:9">
      <c r="C163" s="178"/>
      <c r="I163" s="10"/>
    </row>
    <row r="164" spans="3:9">
      <c r="C164" s="178"/>
      <c r="I164" s="10"/>
    </row>
    <row r="165" spans="3:9">
      <c r="C165" s="178"/>
      <c r="I165" s="10"/>
    </row>
    <row r="166" spans="3:9">
      <c r="C166" s="178"/>
      <c r="I166" s="10"/>
    </row>
    <row r="167" spans="3:9">
      <c r="C167" s="178"/>
      <c r="I167" s="280"/>
    </row>
    <row r="168" spans="3:9">
      <c r="C168" s="178"/>
    </row>
    <row r="169" spans="3:9">
      <c r="C169" s="178"/>
    </row>
    <row r="170" spans="3:9">
      <c r="C170" s="178"/>
    </row>
    <row r="171" spans="3:9">
      <c r="C171" s="178"/>
    </row>
    <row r="172" spans="3:9">
      <c r="C172" s="178"/>
    </row>
    <row r="173" spans="3:9">
      <c r="C173" s="178"/>
    </row>
    <row r="174" spans="3:9">
      <c r="C174" s="178"/>
    </row>
    <row r="175" spans="3:9">
      <c r="C175" s="178"/>
    </row>
    <row r="176" spans="3:9">
      <c r="C176" s="178"/>
    </row>
    <row r="177" spans="3:3">
      <c r="C177" s="178"/>
    </row>
    <row r="178" spans="3:3">
      <c r="C178" s="178"/>
    </row>
    <row r="179" spans="3:3">
      <c r="C179" s="178"/>
    </row>
    <row r="180" spans="3:3">
      <c r="C180" s="178"/>
    </row>
  </sheetData>
  <sheetProtection formatCells="0" formatColumns="0" formatRows="0" insertRows="0"/>
  <autoFilter ref="A50:R50"/>
  <mergeCells count="22">
    <mergeCell ref="E149:G149"/>
    <mergeCell ref="M62:Q62"/>
    <mergeCell ref="M63:Q63"/>
    <mergeCell ref="A33:G33"/>
    <mergeCell ref="A112:G112"/>
    <mergeCell ref="M61:Q61"/>
    <mergeCell ref="E150:G150"/>
    <mergeCell ref="M64:Q64"/>
    <mergeCell ref="M65:Q65"/>
    <mergeCell ref="A1:G1"/>
    <mergeCell ref="A3:A4"/>
    <mergeCell ref="B3:B4"/>
    <mergeCell ref="C3:C4"/>
    <mergeCell ref="D3:G3"/>
    <mergeCell ref="M54:Q54"/>
    <mergeCell ref="M55:Q55"/>
    <mergeCell ref="M56:Q56"/>
    <mergeCell ref="M57:Q57"/>
    <mergeCell ref="M58:Q58"/>
    <mergeCell ref="M59:Q59"/>
    <mergeCell ref="M60:Q60"/>
    <mergeCell ref="A6:G6"/>
  </mergeCells>
  <phoneticPr fontId="4" type="noConversion"/>
  <pageMargins left="0.78740157480314965" right="0.39370078740157483" top="0.59055118110236227" bottom="0.59055118110236227" header="0.19685039370078741" footer="0.23622047244094491"/>
  <pageSetup paperSize="9" scale="67" fitToHeight="4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indexed="50"/>
  </sheetPr>
  <dimension ref="A1"/>
  <sheetViews>
    <sheetView topLeftCell="B1"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3399FF"/>
  </sheetPr>
  <dimension ref="A1:U186"/>
  <sheetViews>
    <sheetView zoomScale="75" zoomScaleNormal="75" zoomScaleSheetLayoutView="80" workbookViewId="0">
      <selection activeCell="O17" sqref="O17"/>
    </sheetView>
  </sheetViews>
  <sheetFormatPr defaultRowHeight="18.75"/>
  <cols>
    <col min="1" max="1" width="45" style="167" customWidth="1"/>
    <col min="2" max="2" width="15.7109375" style="164" customWidth="1"/>
    <col min="3" max="3" width="16" style="164" customWidth="1"/>
    <col min="4" max="5" width="16.28515625" style="167" customWidth="1"/>
    <col min="6" max="6" width="15.85546875" style="167" customWidth="1"/>
    <col min="7" max="7" width="15.28515625" style="167" customWidth="1"/>
    <col min="8" max="8" width="9.5703125" style="167" customWidth="1"/>
    <col min="9" max="9" width="9.85546875" style="167" customWidth="1"/>
    <col min="10" max="10" width="9.140625" style="167"/>
    <col min="11" max="11" width="12.28515625" style="167" customWidth="1"/>
    <col min="12" max="12" width="16.140625" style="167" customWidth="1"/>
    <col min="13" max="13" width="15.42578125" style="167" customWidth="1"/>
    <col min="14" max="14" width="9.140625" style="167"/>
    <col min="15" max="15" width="19" style="167" customWidth="1"/>
    <col min="16" max="19" width="9.140625" style="167"/>
    <col min="20" max="20" width="12.7109375" style="167" customWidth="1"/>
    <col min="21" max="21" width="11.85546875" style="167" customWidth="1"/>
    <col min="22" max="16384" width="9.140625" style="167"/>
  </cols>
  <sheetData>
    <row r="1" spans="1:14">
      <c r="A1" s="376" t="s">
        <v>174</v>
      </c>
      <c r="B1" s="376"/>
      <c r="C1" s="376"/>
      <c r="D1" s="376"/>
      <c r="E1" s="376"/>
      <c r="F1" s="376"/>
      <c r="G1" s="376"/>
    </row>
    <row r="2" spans="1:14">
      <c r="A2" s="381" t="s">
        <v>517</v>
      </c>
      <c r="B2" s="381"/>
      <c r="C2" s="381"/>
      <c r="D2" s="381"/>
      <c r="E2" s="381"/>
      <c r="F2" s="381"/>
      <c r="G2" s="381"/>
    </row>
    <row r="3" spans="1:14" ht="43.5" customHeight="1">
      <c r="A3" s="368" t="s">
        <v>201</v>
      </c>
      <c r="B3" s="371" t="s">
        <v>18</v>
      </c>
      <c r="C3" s="371" t="s">
        <v>479</v>
      </c>
      <c r="D3" s="371" t="s">
        <v>587</v>
      </c>
      <c r="E3" s="371"/>
      <c r="F3" s="371"/>
      <c r="G3" s="371"/>
    </row>
    <row r="4" spans="1:14" ht="56.25" customHeight="1">
      <c r="A4" s="368"/>
      <c r="B4" s="371"/>
      <c r="C4" s="371"/>
      <c r="D4" s="236" t="s">
        <v>473</v>
      </c>
      <c r="E4" s="236" t="s">
        <v>474</v>
      </c>
      <c r="F4" s="236" t="s">
        <v>478</v>
      </c>
      <c r="G4" s="236" t="s">
        <v>476</v>
      </c>
      <c r="K4" s="171"/>
      <c r="L4" s="171"/>
      <c r="M4" s="171"/>
    </row>
    <row r="5" spans="1:14" ht="18" customHeight="1">
      <c r="A5" s="160">
        <v>1</v>
      </c>
      <c r="B5" s="159">
        <v>2</v>
      </c>
      <c r="C5" s="234">
        <v>3</v>
      </c>
      <c r="D5" s="234">
        <v>4</v>
      </c>
      <c r="E5" s="234">
        <v>5</v>
      </c>
      <c r="F5" s="234">
        <v>6</v>
      </c>
      <c r="G5" s="234">
        <v>7</v>
      </c>
    </row>
    <row r="6" spans="1:14" s="171" customFormat="1" ht="42.75" customHeight="1">
      <c r="A6" s="5" t="s">
        <v>69</v>
      </c>
      <c r="B6" s="34">
        <v>4000</v>
      </c>
      <c r="C6" s="271">
        <f>SUM(C7:C11)</f>
        <v>278521</v>
      </c>
      <c r="D6" s="321">
        <f t="shared" ref="D6" si="0">SUM(D7:D11)</f>
        <v>796725</v>
      </c>
      <c r="E6" s="271">
        <f>SUM(E7:E11)</f>
        <v>348733</v>
      </c>
      <c r="F6" s="147">
        <f>E6-D6</f>
        <v>-447992</v>
      </c>
      <c r="G6" s="148">
        <f>E6/D6*100</f>
        <v>43.770811760645138</v>
      </c>
      <c r="H6" s="229"/>
      <c r="K6" s="313"/>
      <c r="L6" s="167"/>
      <c r="M6" s="167"/>
    </row>
    <row r="7" spans="1:14" ht="20.100000000000001" customHeight="1">
      <c r="A7" s="5" t="s">
        <v>1</v>
      </c>
      <c r="B7" s="169" t="s">
        <v>183</v>
      </c>
      <c r="C7" s="270">
        <v>274104</v>
      </c>
      <c r="D7" s="246">
        <v>783307</v>
      </c>
      <c r="E7" s="270">
        <v>342398</v>
      </c>
      <c r="F7" s="147">
        <f t="shared" ref="F7:F11" si="1">E7-D7</f>
        <v>-440909</v>
      </c>
      <c r="G7" s="148">
        <f t="shared" ref="G7:G11" si="2">E7/D7*100</f>
        <v>43.71185244099695</v>
      </c>
      <c r="J7" s="280"/>
      <c r="K7" s="300"/>
      <c r="L7" s="308"/>
      <c r="M7" s="151"/>
    </row>
    <row r="8" spans="1:14" ht="37.5">
      <c r="A8" s="5" t="s">
        <v>2</v>
      </c>
      <c r="B8" s="34">
        <v>4020</v>
      </c>
      <c r="C8" s="270">
        <v>179</v>
      </c>
      <c r="D8" s="246">
        <v>0</v>
      </c>
      <c r="E8" s="270">
        <v>69</v>
      </c>
      <c r="F8" s="147">
        <f t="shared" si="1"/>
        <v>69</v>
      </c>
      <c r="G8" s="148" t="e">
        <f t="shared" si="2"/>
        <v>#DIV/0!</v>
      </c>
      <c r="K8" s="300"/>
      <c r="L8" s="151"/>
      <c r="M8" s="151"/>
      <c r="N8" s="11"/>
    </row>
    <row r="9" spans="1:14" ht="37.5">
      <c r="A9" s="5" t="s">
        <v>30</v>
      </c>
      <c r="B9" s="169">
        <v>4030</v>
      </c>
      <c r="C9" s="270">
        <v>278</v>
      </c>
      <c r="D9" s="246">
        <v>1002</v>
      </c>
      <c r="E9" s="270">
        <v>792</v>
      </c>
      <c r="F9" s="147">
        <f t="shared" si="1"/>
        <v>-210</v>
      </c>
      <c r="G9" s="148">
        <f t="shared" si="2"/>
        <v>79.041916167664667</v>
      </c>
      <c r="K9" s="300"/>
      <c r="L9" s="151"/>
      <c r="M9" s="151"/>
    </row>
    <row r="10" spans="1:14" ht="37.5">
      <c r="A10" s="5" t="s">
        <v>3</v>
      </c>
      <c r="B10" s="34">
        <v>4040</v>
      </c>
      <c r="C10" s="270">
        <v>0</v>
      </c>
      <c r="D10" s="246">
        <v>0</v>
      </c>
      <c r="E10" s="270"/>
      <c r="F10" s="147">
        <f t="shared" si="1"/>
        <v>0</v>
      </c>
      <c r="G10" s="148">
        <v>0</v>
      </c>
      <c r="K10" s="300"/>
      <c r="L10" s="151"/>
      <c r="M10" s="151"/>
    </row>
    <row r="11" spans="1:14" ht="75">
      <c r="A11" s="5" t="s">
        <v>445</v>
      </c>
      <c r="B11" s="169">
        <v>4050</v>
      </c>
      <c r="C11" s="270">
        <v>3960</v>
      </c>
      <c r="D11" s="246">
        <v>12416</v>
      </c>
      <c r="E11" s="270">
        <v>5474</v>
      </c>
      <c r="F11" s="147">
        <f t="shared" si="1"/>
        <v>-6942</v>
      </c>
      <c r="G11" s="148">
        <f t="shared" si="2"/>
        <v>44.08827319587629</v>
      </c>
      <c r="K11" s="300"/>
      <c r="L11" s="151"/>
      <c r="M11" s="151"/>
    </row>
    <row r="12" spans="1:14" ht="20.100000000000001" customHeight="1">
      <c r="A12" s="51"/>
      <c r="B12" s="51"/>
      <c r="C12" s="51"/>
      <c r="D12" s="75"/>
      <c r="E12" s="75"/>
      <c r="F12" s="75"/>
      <c r="G12" s="75"/>
    </row>
    <row r="13" spans="1:14" ht="20.100000000000001" customHeight="1">
      <c r="A13" s="51"/>
      <c r="B13" s="51"/>
      <c r="C13" s="51"/>
      <c r="D13" s="75"/>
      <c r="E13" s="75"/>
      <c r="F13" s="75"/>
      <c r="G13" s="75"/>
    </row>
    <row r="14" spans="1:14" s="1" customFormat="1">
      <c r="A14" s="157"/>
      <c r="B14" s="70"/>
      <c r="C14" s="51"/>
      <c r="D14" s="51"/>
      <c r="E14" s="51"/>
      <c r="F14" s="51"/>
      <c r="G14" s="51"/>
      <c r="H14" s="167"/>
    </row>
    <row r="15" spans="1:14" s="237" customFormat="1" ht="20.25" customHeight="1" thickBot="1">
      <c r="A15" s="63" t="s">
        <v>509</v>
      </c>
      <c r="B15" s="64"/>
      <c r="C15" s="242"/>
      <c r="D15" s="65"/>
      <c r="E15" s="347" t="s">
        <v>604</v>
      </c>
      <c r="F15" s="347"/>
      <c r="G15" s="347"/>
    </row>
    <row r="16" spans="1:14" s="1" customFormat="1" ht="21" customHeight="1">
      <c r="A16" s="235" t="s">
        <v>66</v>
      </c>
      <c r="B16" s="51"/>
      <c r="C16" s="105" t="s">
        <v>501</v>
      </c>
      <c r="D16" s="66"/>
      <c r="E16" s="344" t="s">
        <v>608</v>
      </c>
      <c r="F16" s="344"/>
      <c r="G16" s="344"/>
      <c r="K16"/>
    </row>
    <row r="17" spans="1:21" s="1" customFormat="1" ht="20.100000000000001" customHeight="1">
      <c r="A17" s="163"/>
      <c r="B17" s="51"/>
      <c r="C17" s="163"/>
      <c r="D17" s="66"/>
      <c r="E17" s="157"/>
      <c r="F17" s="157"/>
      <c r="G17" s="157"/>
    </row>
    <row r="18" spans="1:21">
      <c r="A18" s="76"/>
      <c r="B18" s="163"/>
      <c r="C18" s="163"/>
      <c r="D18" s="51"/>
      <c r="E18" s="51"/>
      <c r="F18" s="51"/>
      <c r="G18" s="51"/>
      <c r="P18" s="171"/>
      <c r="Q18" s="171"/>
      <c r="R18" s="171"/>
    </row>
    <row r="19" spans="1:21">
      <c r="A19" s="76"/>
      <c r="B19" s="163"/>
      <c r="C19" s="163"/>
      <c r="D19" s="51"/>
      <c r="E19" s="51"/>
      <c r="F19" s="51"/>
      <c r="G19" s="51"/>
      <c r="P19" s="171"/>
      <c r="Q19" s="171"/>
      <c r="R19" s="171"/>
    </row>
    <row r="20" spans="1:21">
      <c r="A20" s="76"/>
      <c r="B20" s="163"/>
      <c r="C20" s="163"/>
      <c r="D20" s="51"/>
      <c r="E20" s="51"/>
      <c r="F20" s="51"/>
      <c r="G20" s="51"/>
      <c r="P20" s="1"/>
    </row>
    <row r="21" spans="1:21">
      <c r="A21" s="25"/>
      <c r="D21" s="92"/>
      <c r="E21" s="92"/>
      <c r="F21" s="92"/>
      <c r="G21" s="92"/>
      <c r="P21" s="1"/>
    </row>
    <row r="22" spans="1:21">
      <c r="A22" s="25"/>
      <c r="D22" s="92"/>
      <c r="E22" s="92"/>
      <c r="F22" s="92"/>
      <c r="G22" s="92"/>
      <c r="P22" s="1"/>
    </row>
    <row r="23" spans="1:21">
      <c r="A23" s="25"/>
      <c r="D23" s="92"/>
      <c r="E23" s="92"/>
      <c r="F23" s="92"/>
      <c r="G23" s="92"/>
    </row>
    <row r="24" spans="1:21">
      <c r="A24" s="25"/>
    </row>
    <row r="25" spans="1:21">
      <c r="A25" s="25"/>
      <c r="D25" s="92"/>
      <c r="E25" s="92"/>
      <c r="F25" s="92"/>
      <c r="G25" s="92"/>
    </row>
    <row r="26" spans="1:21">
      <c r="A26" s="25"/>
      <c r="P26" s="1"/>
    </row>
    <row r="27" spans="1:21">
      <c r="A27" s="25"/>
    </row>
    <row r="28" spans="1:21">
      <c r="A28" s="25"/>
      <c r="P28" s="1"/>
      <c r="Q28" s="1"/>
      <c r="R28" s="1"/>
    </row>
    <row r="29" spans="1:21">
      <c r="A29" s="25"/>
      <c r="P29" s="1"/>
      <c r="Q29" s="1"/>
      <c r="R29" s="1"/>
    </row>
    <row r="30" spans="1:21">
      <c r="A30" s="25"/>
      <c r="D30" s="92"/>
      <c r="E30" s="92"/>
      <c r="F30" s="92"/>
      <c r="G30" s="92"/>
      <c r="P30" s="1"/>
    </row>
    <row r="31" spans="1:21">
      <c r="A31" s="25"/>
      <c r="D31" s="92"/>
      <c r="E31" s="92"/>
      <c r="F31" s="92"/>
      <c r="G31" s="92"/>
      <c r="P31" s="1"/>
      <c r="Q31" s="1"/>
      <c r="R31" s="1"/>
      <c r="U31" s="151"/>
    </row>
    <row r="32" spans="1:21">
      <c r="A32" s="25"/>
    </row>
    <row r="33" spans="1:1">
      <c r="A33" s="25"/>
    </row>
    <row r="34" spans="1:1">
      <c r="A34" s="25"/>
    </row>
    <row r="35" spans="1:1">
      <c r="A35" s="25"/>
    </row>
    <row r="36" spans="1:1">
      <c r="A36" s="25"/>
    </row>
    <row r="37" spans="1:1">
      <c r="A37" s="25"/>
    </row>
    <row r="38" spans="1:1">
      <c r="A38" s="25"/>
    </row>
    <row r="39" spans="1:1">
      <c r="A39" s="25"/>
    </row>
    <row r="40" spans="1:1">
      <c r="A40" s="25"/>
    </row>
    <row r="41" spans="1:1">
      <c r="A41" s="25"/>
    </row>
    <row r="42" spans="1:1">
      <c r="A42" s="25"/>
    </row>
    <row r="43" spans="1:1">
      <c r="A43" s="25"/>
    </row>
    <row r="44" spans="1:1">
      <c r="A44" s="25"/>
    </row>
    <row r="45" spans="1:1">
      <c r="A45" s="25"/>
    </row>
    <row r="46" spans="1:1">
      <c r="A46" s="25"/>
    </row>
    <row r="47" spans="1:1">
      <c r="A47" s="25"/>
    </row>
    <row r="48" spans="1:1">
      <c r="A48" s="25"/>
    </row>
    <row r="49" spans="1:1">
      <c r="A49" s="25"/>
    </row>
    <row r="50" spans="1:1">
      <c r="A50" s="25"/>
    </row>
    <row r="51" spans="1:1">
      <c r="A51" s="25"/>
    </row>
    <row r="52" spans="1:1">
      <c r="A52" s="25"/>
    </row>
    <row r="53" spans="1:1">
      <c r="A53" s="25"/>
    </row>
    <row r="54" spans="1:1">
      <c r="A54" s="25"/>
    </row>
    <row r="55" spans="1:1">
      <c r="A55" s="25"/>
    </row>
    <row r="56" spans="1:1">
      <c r="A56" s="25"/>
    </row>
    <row r="57" spans="1:1">
      <c r="A57" s="25"/>
    </row>
    <row r="58" spans="1:1">
      <c r="A58" s="25"/>
    </row>
    <row r="59" spans="1:1">
      <c r="A59" s="25"/>
    </row>
    <row r="60" spans="1:1">
      <c r="A60" s="25"/>
    </row>
    <row r="61" spans="1:1">
      <c r="A61" s="25"/>
    </row>
    <row r="62" spans="1:1">
      <c r="A62" s="25"/>
    </row>
    <row r="63" spans="1:1">
      <c r="A63" s="25"/>
    </row>
    <row r="64" spans="1:1">
      <c r="A64" s="25"/>
    </row>
    <row r="65" spans="1:1">
      <c r="A65" s="25"/>
    </row>
    <row r="66" spans="1:1">
      <c r="A66" s="25"/>
    </row>
    <row r="67" spans="1:1">
      <c r="A67" s="25"/>
    </row>
    <row r="68" spans="1:1">
      <c r="A68" s="25"/>
    </row>
    <row r="69" spans="1:1">
      <c r="A69" s="25"/>
    </row>
    <row r="70" spans="1:1">
      <c r="A70" s="25"/>
    </row>
    <row r="71" spans="1:1">
      <c r="A71" s="25"/>
    </row>
    <row r="72" spans="1:1">
      <c r="A72" s="25"/>
    </row>
    <row r="73" spans="1:1">
      <c r="A73" s="25"/>
    </row>
    <row r="74" spans="1:1">
      <c r="A74" s="25"/>
    </row>
    <row r="75" spans="1:1">
      <c r="A75" s="25"/>
    </row>
    <row r="76" spans="1:1">
      <c r="A76" s="25"/>
    </row>
    <row r="77" spans="1:1">
      <c r="A77" s="25"/>
    </row>
    <row r="78" spans="1:1">
      <c r="A78" s="25"/>
    </row>
    <row r="79" spans="1:1">
      <c r="A79" s="25"/>
    </row>
    <row r="80" spans="1:1">
      <c r="A80" s="25"/>
    </row>
    <row r="81" spans="1:1">
      <c r="A81" s="25"/>
    </row>
    <row r="82" spans="1:1">
      <c r="A82" s="25"/>
    </row>
    <row r="83" spans="1:1">
      <c r="A83" s="25"/>
    </row>
    <row r="84" spans="1:1">
      <c r="A84" s="25"/>
    </row>
    <row r="85" spans="1:1">
      <c r="A85" s="25"/>
    </row>
    <row r="86" spans="1:1">
      <c r="A86" s="25"/>
    </row>
    <row r="87" spans="1:1">
      <c r="A87" s="25"/>
    </row>
    <row r="88" spans="1:1">
      <c r="A88" s="25"/>
    </row>
    <row r="89" spans="1:1">
      <c r="A89" s="25"/>
    </row>
    <row r="90" spans="1:1">
      <c r="A90" s="25"/>
    </row>
    <row r="91" spans="1:1">
      <c r="A91" s="25"/>
    </row>
    <row r="92" spans="1:1">
      <c r="A92" s="25"/>
    </row>
    <row r="93" spans="1:1">
      <c r="A93" s="25"/>
    </row>
    <row r="94" spans="1:1">
      <c r="A94" s="25"/>
    </row>
    <row r="95" spans="1:1">
      <c r="A95" s="25"/>
    </row>
    <row r="96" spans="1:1">
      <c r="A96" s="25"/>
    </row>
    <row r="97" spans="1:1">
      <c r="A97" s="25"/>
    </row>
    <row r="98" spans="1:1">
      <c r="A98" s="25"/>
    </row>
    <row r="99" spans="1:1">
      <c r="A99" s="25"/>
    </row>
    <row r="100" spans="1:1">
      <c r="A100" s="25"/>
    </row>
    <row r="101" spans="1:1">
      <c r="A101" s="25"/>
    </row>
    <row r="102" spans="1:1">
      <c r="A102" s="25"/>
    </row>
    <row r="103" spans="1:1">
      <c r="A103" s="25"/>
    </row>
    <row r="104" spans="1:1">
      <c r="A104" s="25"/>
    </row>
    <row r="105" spans="1:1">
      <c r="A105" s="25"/>
    </row>
    <row r="106" spans="1:1">
      <c r="A106" s="25"/>
    </row>
    <row r="107" spans="1:1">
      <c r="A107" s="25"/>
    </row>
    <row r="108" spans="1:1">
      <c r="A108" s="25"/>
    </row>
    <row r="109" spans="1:1">
      <c r="A109" s="25"/>
    </row>
    <row r="110" spans="1:1">
      <c r="A110" s="25"/>
    </row>
    <row r="111" spans="1:1">
      <c r="A111" s="25"/>
    </row>
    <row r="112" spans="1:1">
      <c r="A112" s="25"/>
    </row>
    <row r="113" spans="1:1">
      <c r="A113" s="25"/>
    </row>
    <row r="114" spans="1:1">
      <c r="A114" s="25"/>
    </row>
    <row r="115" spans="1:1">
      <c r="A115" s="25"/>
    </row>
    <row r="116" spans="1:1">
      <c r="A116" s="25"/>
    </row>
    <row r="117" spans="1:1">
      <c r="A117" s="25"/>
    </row>
    <row r="118" spans="1:1">
      <c r="A118" s="25"/>
    </row>
    <row r="119" spans="1:1">
      <c r="A119" s="25"/>
    </row>
    <row r="120" spans="1:1">
      <c r="A120" s="25"/>
    </row>
    <row r="121" spans="1:1">
      <c r="A121" s="25"/>
    </row>
    <row r="122" spans="1:1">
      <c r="A122" s="25"/>
    </row>
    <row r="123" spans="1:1">
      <c r="A123" s="25"/>
    </row>
    <row r="124" spans="1:1">
      <c r="A124" s="25"/>
    </row>
    <row r="125" spans="1:1">
      <c r="A125" s="25"/>
    </row>
    <row r="126" spans="1:1">
      <c r="A126" s="25"/>
    </row>
    <row r="127" spans="1:1">
      <c r="A127" s="25"/>
    </row>
    <row r="128" spans="1:1">
      <c r="A128" s="25"/>
    </row>
    <row r="129" spans="1:1">
      <c r="A129" s="25"/>
    </row>
    <row r="130" spans="1:1">
      <c r="A130" s="25"/>
    </row>
    <row r="131" spans="1:1">
      <c r="A131" s="25"/>
    </row>
    <row r="132" spans="1:1">
      <c r="A132" s="25"/>
    </row>
    <row r="133" spans="1:1">
      <c r="A133" s="25"/>
    </row>
    <row r="134" spans="1:1">
      <c r="A134" s="25"/>
    </row>
    <row r="135" spans="1:1">
      <c r="A135" s="25"/>
    </row>
    <row r="136" spans="1:1">
      <c r="A136" s="25"/>
    </row>
    <row r="137" spans="1:1">
      <c r="A137" s="25"/>
    </row>
    <row r="138" spans="1:1">
      <c r="A138" s="25"/>
    </row>
    <row r="139" spans="1:1">
      <c r="A139" s="25"/>
    </row>
    <row r="140" spans="1:1">
      <c r="A140" s="25"/>
    </row>
    <row r="141" spans="1:1">
      <c r="A141" s="25"/>
    </row>
    <row r="142" spans="1:1">
      <c r="A142" s="25"/>
    </row>
    <row r="143" spans="1:1">
      <c r="A143" s="25"/>
    </row>
    <row r="144" spans="1:1">
      <c r="A144" s="25"/>
    </row>
    <row r="145" spans="1:1">
      <c r="A145" s="25"/>
    </row>
    <row r="146" spans="1:1">
      <c r="A146" s="25"/>
    </row>
    <row r="147" spans="1:1">
      <c r="A147" s="25"/>
    </row>
    <row r="148" spans="1:1">
      <c r="A148" s="25"/>
    </row>
    <row r="149" spans="1:1">
      <c r="A149" s="25"/>
    </row>
    <row r="150" spans="1:1">
      <c r="A150" s="25"/>
    </row>
    <row r="151" spans="1:1">
      <c r="A151" s="25"/>
    </row>
    <row r="152" spans="1:1">
      <c r="A152" s="25"/>
    </row>
    <row r="153" spans="1:1">
      <c r="A153" s="25"/>
    </row>
    <row r="154" spans="1:1">
      <c r="A154" s="25"/>
    </row>
    <row r="155" spans="1:1">
      <c r="A155" s="25"/>
    </row>
    <row r="156" spans="1:1">
      <c r="A156" s="25"/>
    </row>
    <row r="157" spans="1:1">
      <c r="A157" s="25"/>
    </row>
    <row r="158" spans="1:1">
      <c r="A158" s="25"/>
    </row>
    <row r="159" spans="1:1">
      <c r="A159" s="25"/>
    </row>
    <row r="160" spans="1:1">
      <c r="A160" s="25"/>
    </row>
    <row r="161" spans="1:1">
      <c r="A161" s="25"/>
    </row>
    <row r="162" spans="1:1">
      <c r="A162" s="25"/>
    </row>
    <row r="163" spans="1:1">
      <c r="A163" s="25"/>
    </row>
    <row r="164" spans="1:1">
      <c r="A164" s="25"/>
    </row>
    <row r="165" spans="1:1">
      <c r="A165" s="25"/>
    </row>
    <row r="166" spans="1:1">
      <c r="A166" s="25"/>
    </row>
    <row r="167" spans="1:1">
      <c r="A167" s="25"/>
    </row>
    <row r="168" spans="1:1">
      <c r="A168" s="25"/>
    </row>
    <row r="169" spans="1:1">
      <c r="A169" s="25"/>
    </row>
    <row r="170" spans="1:1">
      <c r="A170" s="25"/>
    </row>
    <row r="171" spans="1:1">
      <c r="A171" s="25"/>
    </row>
    <row r="172" spans="1:1">
      <c r="A172" s="25"/>
    </row>
    <row r="173" spans="1:1">
      <c r="A173" s="25"/>
    </row>
    <row r="174" spans="1:1">
      <c r="A174" s="25"/>
    </row>
    <row r="175" spans="1:1">
      <c r="A175" s="25"/>
    </row>
    <row r="176" spans="1:1">
      <c r="A176" s="25"/>
    </row>
    <row r="177" spans="1:1">
      <c r="A177" s="25"/>
    </row>
    <row r="178" spans="1:1">
      <c r="A178" s="25"/>
    </row>
    <row r="179" spans="1:1">
      <c r="A179" s="25"/>
    </row>
    <row r="180" spans="1:1">
      <c r="A180" s="25"/>
    </row>
    <row r="181" spans="1:1">
      <c r="A181" s="25"/>
    </row>
    <row r="182" spans="1:1">
      <c r="A182" s="25"/>
    </row>
    <row r="183" spans="1:1">
      <c r="A183" s="25"/>
    </row>
    <row r="184" spans="1:1">
      <c r="A184" s="25"/>
    </row>
    <row r="185" spans="1:1">
      <c r="A185" s="25"/>
    </row>
    <row r="186" spans="1:1">
      <c r="A186" s="25"/>
    </row>
  </sheetData>
  <sheetProtection formatCells="0" formatColumns="0" formatRows="0"/>
  <mergeCells count="8">
    <mergeCell ref="E15:G15"/>
    <mergeCell ref="E16:G16"/>
    <mergeCell ref="A3:A4"/>
    <mergeCell ref="A1:G1"/>
    <mergeCell ref="B3:B4"/>
    <mergeCell ref="C3:C4"/>
    <mergeCell ref="A2:G2"/>
    <mergeCell ref="D3:G3"/>
  </mergeCells>
  <phoneticPr fontId="0" type="noConversion"/>
  <pageMargins left="0.78740157480314965" right="0.2" top="0.59055118110236227" bottom="0.59055118110236227" header="0.27559055118110237" footer="0.31496062992125984"/>
  <pageSetup paperSize="9" scale="50" firstPageNumber="9" orientation="portrait" useFirstPageNumber="1" r:id="rId1"/>
  <headerFooter alignWithMargins="0"/>
  <ignoredErrors>
    <ignoredError sqref="B7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50"/>
  </sheetPr>
  <dimension ref="A1:K31"/>
  <sheetViews>
    <sheetView showWhiteSpace="0" zoomScale="78" zoomScaleNormal="78" zoomScalePageLayoutView="70" workbookViewId="0">
      <pane ySplit="5" topLeftCell="A6" activePane="bottomLeft" state="frozen"/>
      <selection pane="bottomLeft" activeCell="F19" sqref="F19"/>
    </sheetView>
  </sheetViews>
  <sheetFormatPr defaultRowHeight="12.75"/>
  <cols>
    <col min="1" max="1" width="57.28515625" style="17" customWidth="1"/>
    <col min="2" max="2" width="12.5703125" style="17" customWidth="1"/>
    <col min="3" max="3" width="16.85546875" style="17" customWidth="1"/>
    <col min="4" max="4" width="15" style="17" customWidth="1"/>
    <col min="5" max="5" width="17.5703125" style="17" customWidth="1"/>
    <col min="6" max="6" width="36.7109375" style="17" customWidth="1"/>
    <col min="7" max="7" width="9.5703125" style="17" customWidth="1"/>
    <col min="8" max="16384" width="9.140625" style="17"/>
  </cols>
  <sheetData>
    <row r="1" spans="1:6" ht="25.5" customHeight="1">
      <c r="A1" s="382" t="s">
        <v>176</v>
      </c>
      <c r="B1" s="382"/>
      <c r="C1" s="382"/>
      <c r="D1" s="382"/>
      <c r="E1" s="382"/>
      <c r="F1" s="382"/>
    </row>
    <row r="2" spans="1:6" ht="16.5" customHeight="1"/>
    <row r="3" spans="1:6" ht="45" customHeight="1">
      <c r="A3" s="383" t="s">
        <v>201</v>
      </c>
      <c r="B3" s="383" t="s">
        <v>0</v>
      </c>
      <c r="C3" s="383" t="s">
        <v>84</v>
      </c>
      <c r="D3" s="383" t="s">
        <v>477</v>
      </c>
      <c r="E3" s="383" t="s">
        <v>472</v>
      </c>
      <c r="F3" s="383" t="s">
        <v>85</v>
      </c>
    </row>
    <row r="4" spans="1:6" ht="52.5" customHeight="1">
      <c r="A4" s="384"/>
      <c r="B4" s="384"/>
      <c r="C4" s="384"/>
      <c r="D4" s="384"/>
      <c r="E4" s="384"/>
      <c r="F4" s="384"/>
    </row>
    <row r="5" spans="1:6" s="32" customFormat="1" ht="18" customHeight="1">
      <c r="A5" s="18">
        <v>1</v>
      </c>
      <c r="B5" s="18">
        <v>2</v>
      </c>
      <c r="C5" s="18">
        <v>3</v>
      </c>
      <c r="D5" s="18">
        <v>4</v>
      </c>
      <c r="E5" s="18">
        <v>5</v>
      </c>
      <c r="F5" s="18">
        <v>8</v>
      </c>
    </row>
    <row r="6" spans="1:6" s="32" customFormat="1" ht="45" customHeight="1">
      <c r="A6" s="35" t="s">
        <v>161</v>
      </c>
      <c r="B6" s="31"/>
      <c r="C6" s="18"/>
      <c r="D6" s="18"/>
      <c r="E6" s="18"/>
      <c r="F6" s="18"/>
    </row>
    <row r="7" spans="1:6" ht="79.5" customHeight="1">
      <c r="A7" s="5" t="s">
        <v>236</v>
      </c>
      <c r="B7" s="4">
        <v>5000</v>
      </c>
      <c r="C7" s="37" t="s">
        <v>230</v>
      </c>
      <c r="D7" s="120">
        <f>'Осн. фін. пок.'!C32*100/'Осн. фін. пок.'!C30</f>
        <v>-868.69803644082788</v>
      </c>
      <c r="E7" s="93">
        <f>'Осн. фін. пок.'!E32*100/'Осн. фін. пок.'!E30</f>
        <v>-763.87394798455989</v>
      </c>
      <c r="F7" s="39"/>
    </row>
    <row r="8" spans="1:6" ht="80.25" customHeight="1">
      <c r="A8" s="5" t="s">
        <v>237</v>
      </c>
      <c r="B8" s="4">
        <v>5010</v>
      </c>
      <c r="C8" s="37" t="s">
        <v>230</v>
      </c>
      <c r="D8" s="120">
        <f>'Осн. фін. пок.'!C37*100/'Осн. фін. пок.'!C30</f>
        <v>-132.88519370245888</v>
      </c>
      <c r="E8" s="93">
        <f>'Осн. фін. пок.'!E37*100/'Осн. фін. пок.'!E30</f>
        <v>13.592355881794596</v>
      </c>
      <c r="F8" s="39"/>
    </row>
    <row r="9" spans="1:6" ht="65.25" customHeight="1">
      <c r="A9" s="40" t="s">
        <v>241</v>
      </c>
      <c r="B9" s="4">
        <v>5020</v>
      </c>
      <c r="C9" s="37" t="s">
        <v>230</v>
      </c>
      <c r="D9" s="121">
        <f>'Осн. фін. пок.'!C43/'Осн. фін. пок.'!C69</f>
        <v>-7.3964647427344236E-3</v>
      </c>
      <c r="E9" s="121">
        <f>'Осн. фін. пок.'!E43/'Осн. фін. пок.'!E69</f>
        <v>-1.2005913523489749E-3</v>
      </c>
      <c r="F9" s="39" t="s">
        <v>231</v>
      </c>
    </row>
    <row r="10" spans="1:6" ht="60.75" customHeight="1">
      <c r="A10" s="40" t="s">
        <v>242</v>
      </c>
      <c r="B10" s="4">
        <v>5030</v>
      </c>
      <c r="C10" s="37" t="s">
        <v>230</v>
      </c>
      <c r="D10" s="121">
        <f>'Осн. фін. пок.'!C43/'Осн. фін. пок.'!C75</f>
        <v>-3.9478213391256872E-2</v>
      </c>
      <c r="E10" s="121">
        <f>'Осн. фін. пок.'!E43/'Осн. фін. пок.'!E75</f>
        <v>-7.0540211299612576E-3</v>
      </c>
      <c r="F10" s="39"/>
    </row>
    <row r="11" spans="1:6" ht="85.5" customHeight="1">
      <c r="A11" s="40" t="s">
        <v>243</v>
      </c>
      <c r="B11" s="4">
        <v>5040</v>
      </c>
      <c r="C11" s="37" t="s">
        <v>86</v>
      </c>
      <c r="D11" s="121">
        <f>'Осн. фін. пок.'!C43/'Осн. фін. пок.'!C30</f>
        <v>-2.0592605696090573</v>
      </c>
      <c r="E11" s="121">
        <f>'Осн. фін. пок.'!E43/'Осн. фін. пок.'!E30</f>
        <v>-0.26419034360564447</v>
      </c>
      <c r="F11" s="39" t="s">
        <v>232</v>
      </c>
    </row>
    <row r="12" spans="1:6" ht="45" customHeight="1">
      <c r="A12" s="35" t="s">
        <v>163</v>
      </c>
      <c r="B12" s="4"/>
      <c r="C12" s="38"/>
      <c r="D12" s="122"/>
      <c r="E12" s="77"/>
      <c r="F12" s="39"/>
    </row>
    <row r="13" spans="1:6" ht="74.25" customHeight="1">
      <c r="A13" s="36" t="s">
        <v>223</v>
      </c>
      <c r="B13" s="4">
        <v>5100</v>
      </c>
      <c r="C13" s="37"/>
      <c r="D13" s="120">
        <f>('Осн. фін. пок.'!C70+'Осн. фін. пок.'!C71)/'Осн. фін. пок.'!C37</f>
        <v>-170.25938498402556</v>
      </c>
      <c r="E13" s="120">
        <f>('Осн. фін. пок.'!E70+'Осн. фін. пок.'!E71)/'Осн. фін. пок.'!E37</f>
        <v>1343.3854748603353</v>
      </c>
      <c r="F13" s="39"/>
    </row>
    <row r="14" spans="1:6" s="32" customFormat="1" ht="117" customHeight="1">
      <c r="A14" s="36" t="s">
        <v>224</v>
      </c>
      <c r="B14" s="4">
        <v>5110</v>
      </c>
      <c r="C14" s="37" t="s">
        <v>148</v>
      </c>
      <c r="D14" s="121">
        <f>'Осн. фін. пок.'!C75/('Осн. фін. пок.'!C70+'Осн. фін. пок.'!C71)</f>
        <v>0.2305505483434761</v>
      </c>
      <c r="E14" s="121">
        <f>'Осн. фін. пок.'!E75/('Осн. фін. пок.'!E70+'Осн. фін. пок.'!E71)</f>
        <v>0.20510903828399857</v>
      </c>
      <c r="F14" s="39" t="s">
        <v>369</v>
      </c>
    </row>
    <row r="15" spans="1:6" s="32" customFormat="1" ht="117" customHeight="1">
      <c r="A15" s="36" t="s">
        <v>225</v>
      </c>
      <c r="B15" s="4">
        <v>5120</v>
      </c>
      <c r="C15" s="37" t="s">
        <v>148</v>
      </c>
      <c r="D15" s="121">
        <f>'Осн. фін. пок.'!C67/'Осн. фін. пок.'!C71</f>
        <v>0.29328058852757471</v>
      </c>
      <c r="E15" s="121">
        <f>'Осн. фін. пок.'!E67/'Осн. фін. пок.'!E71</f>
        <v>0.27447504706140025</v>
      </c>
      <c r="F15" s="39" t="s">
        <v>234</v>
      </c>
    </row>
    <row r="16" spans="1:6" ht="20.100000000000001" customHeight="1">
      <c r="A16" s="35" t="s">
        <v>162</v>
      </c>
      <c r="B16" s="4"/>
      <c r="C16" s="37"/>
      <c r="D16" s="122"/>
      <c r="E16" s="77"/>
      <c r="F16" s="39"/>
    </row>
    <row r="17" spans="1:11" ht="56.25">
      <c r="A17" s="36" t="s">
        <v>226</v>
      </c>
      <c r="B17" s="4">
        <v>5200</v>
      </c>
      <c r="C17" s="37"/>
      <c r="D17" s="121">
        <v>4.5380000000000003</v>
      </c>
      <c r="E17" s="123">
        <f>'IV. Кап. інвестиції'!E6/'I. Фін результат'!E164</f>
        <v>55.15309188676261</v>
      </c>
      <c r="F17" s="39"/>
    </row>
    <row r="18" spans="1:11" ht="76.5" customHeight="1">
      <c r="A18" s="36" t="s">
        <v>227</v>
      </c>
      <c r="B18" s="4">
        <v>5210</v>
      </c>
      <c r="C18" s="37"/>
      <c r="D18" s="123">
        <f>'IV. Кап. інвестиції'!C6/'I. Фін результат'!C7</f>
        <v>24.634795683707765</v>
      </c>
      <c r="E18" s="123">
        <f>'IV. Кап. інвестиції'!E6/'I. Фін результат'!E7</f>
        <v>22.067518825539455</v>
      </c>
      <c r="F18" s="39"/>
    </row>
    <row r="19" spans="1:11" ht="81.75" customHeight="1">
      <c r="A19" s="36" t="s">
        <v>238</v>
      </c>
      <c r="B19" s="4">
        <v>5220</v>
      </c>
      <c r="C19" s="37" t="s">
        <v>230</v>
      </c>
      <c r="D19" s="121">
        <f>225905/375537</f>
        <v>0.60155191099678595</v>
      </c>
      <c r="E19" s="123">
        <f>231690/383605</f>
        <v>0.60398065718642879</v>
      </c>
      <c r="F19" s="39" t="s">
        <v>233</v>
      </c>
    </row>
    <row r="20" spans="1:11" ht="25.5" customHeight="1">
      <c r="A20" s="31" t="s">
        <v>218</v>
      </c>
      <c r="B20" s="4"/>
      <c r="C20" s="37"/>
      <c r="D20" s="100"/>
      <c r="E20" s="77"/>
      <c r="F20" s="39"/>
    </row>
    <row r="21" spans="1:11" ht="138.75" customHeight="1">
      <c r="A21" s="40" t="s">
        <v>239</v>
      </c>
      <c r="B21" s="4">
        <v>5300</v>
      </c>
      <c r="C21" s="37"/>
      <c r="D21" s="101"/>
      <c r="E21" s="77"/>
      <c r="F21" s="78"/>
    </row>
    <row r="22" spans="1:11" ht="20.100000000000001" customHeight="1">
      <c r="A22" s="79"/>
      <c r="B22" s="79"/>
      <c r="C22" s="79"/>
      <c r="D22" s="79"/>
      <c r="E22" s="79"/>
      <c r="F22" s="79"/>
    </row>
    <row r="23" spans="1:11" ht="20.100000000000001" customHeight="1">
      <c r="A23" s="79"/>
      <c r="B23" s="79"/>
      <c r="C23" s="79"/>
      <c r="D23" s="79"/>
      <c r="E23" s="79"/>
      <c r="F23" s="79"/>
    </row>
    <row r="24" spans="1:11" ht="20.100000000000001" customHeight="1">
      <c r="A24" s="79"/>
      <c r="B24" s="79"/>
      <c r="C24" s="79"/>
      <c r="D24" s="79"/>
      <c r="E24" s="79"/>
      <c r="F24" s="79"/>
    </row>
    <row r="25" spans="1:11" s="237" customFormat="1" ht="20.25" customHeight="1" thickBot="1">
      <c r="A25" s="63" t="s">
        <v>509</v>
      </c>
      <c r="B25" s="64"/>
      <c r="C25" s="242"/>
      <c r="D25" s="65"/>
      <c r="E25" s="347" t="s">
        <v>604</v>
      </c>
      <c r="F25" s="347"/>
      <c r="G25" s="347"/>
    </row>
    <row r="26" spans="1:11" s="1" customFormat="1" ht="21" customHeight="1">
      <c r="A26" s="235" t="s">
        <v>66</v>
      </c>
      <c r="B26" s="51"/>
      <c r="C26" s="105" t="s">
        <v>501</v>
      </c>
      <c r="D26" s="66"/>
      <c r="E26" s="344" t="s">
        <v>606</v>
      </c>
      <c r="F26" s="344"/>
      <c r="G26" s="344"/>
      <c r="K26"/>
    </row>
    <row r="27" spans="1:11">
      <c r="A27" s="79"/>
      <c r="B27" s="79"/>
      <c r="C27" s="79"/>
      <c r="D27" s="79"/>
      <c r="E27" s="79"/>
      <c r="F27" s="79"/>
    </row>
    <row r="28" spans="1:11">
      <c r="A28" s="79"/>
      <c r="B28" s="79"/>
      <c r="C28" s="79"/>
      <c r="D28" s="79"/>
      <c r="E28" s="79"/>
      <c r="F28" s="79"/>
    </row>
    <row r="29" spans="1:11">
      <c r="A29" s="79"/>
      <c r="B29" s="79"/>
      <c r="C29" s="79"/>
      <c r="D29" s="79"/>
      <c r="E29" s="79"/>
      <c r="F29" s="79"/>
    </row>
    <row r="30" spans="1:11">
      <c r="A30" s="79"/>
      <c r="B30" s="79"/>
      <c r="C30" s="79"/>
      <c r="D30" s="79"/>
      <c r="E30" s="79"/>
      <c r="F30" s="79"/>
    </row>
    <row r="31" spans="1:11">
      <c r="A31" s="79"/>
      <c r="B31" s="79"/>
      <c r="C31" s="79"/>
      <c r="D31" s="79"/>
      <c r="E31" s="79"/>
      <c r="F31" s="79"/>
    </row>
  </sheetData>
  <sheetProtection formatCells="0" formatColumns="0" formatRows="0"/>
  <mergeCells count="9">
    <mergeCell ref="E25:G25"/>
    <mergeCell ref="E26:G26"/>
    <mergeCell ref="A1:F1"/>
    <mergeCell ref="F3:F4"/>
    <mergeCell ref="A3:A4"/>
    <mergeCell ref="B3:B4"/>
    <mergeCell ref="C3:C4"/>
    <mergeCell ref="D3:D4"/>
    <mergeCell ref="E3:E4"/>
  </mergeCells>
  <phoneticPr fontId="4" type="noConversion"/>
  <pageMargins left="0.78740157480314965" right="0.39370078740157483" top="0.59055118110236227" bottom="0.59055118110236227" header="0.27559055118110237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Осн. фін. пок.</vt:lpstr>
      <vt:lpstr>I. Фін результат</vt:lpstr>
      <vt:lpstr>ІІ. Розр. з бюджетом</vt:lpstr>
      <vt:lpstr>ІІІ. Рух грош. коштів</vt:lpstr>
      <vt:lpstr>Лист8</vt:lpstr>
      <vt:lpstr>IV. Кап. інвестиції</vt:lpstr>
      <vt:lpstr> V. Коефіцієнти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'I. Фін результат'!Область_печати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Company>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Слива Елена Васильевна</cp:lastModifiedBy>
  <cp:lastPrinted>2021-10-29T11:09:03Z</cp:lastPrinted>
  <dcterms:created xsi:type="dcterms:W3CDTF">2003-03-13T16:00:22Z</dcterms:created>
  <dcterms:modified xsi:type="dcterms:W3CDTF">2022-10-12T06:36:33Z</dcterms:modified>
</cp:coreProperties>
</file>