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ін.рез.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<sst xmlns="http://schemas.openxmlformats.org/spreadsheetml/2006/main" count="108" uniqueCount="99">
  <si>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</si>
  <si>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</si>
  <si>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</si>
  <si>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</si>
  <si>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</si>
  <si>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</si>
  <si>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</si>
  <si>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</si>
  <si>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(підпис)</t>
  </si>
  <si>
    <t xml:space="preserve">                  (П.І.Б.)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</si>
  <si>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</si>
  <si>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</si>
  <si>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</si>
  <si>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</si>
  <si>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</si>
  <si>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</si>
  <si>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</si>
  <si>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</si>
  <si>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</si>
  <si>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</si>
  <si>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</si>
  <si>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</si>
  <si>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</si>
  <si>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</si>
  <si>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</si>
  <si>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</si>
  <si>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</si>
  <si>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</si>
  <si>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</si>
  <si>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</si>
  <si>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</si>
  <si>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</si>
  <si>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</si>
  <si>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</si>
  <si>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</si>
  <si>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</si>
  <si>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</si>
  <si>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</si>
  <si>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</si>
  <si>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</si>
  <si>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</si>
  <si>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</si>
  <si>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</si>
  <si>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</si>
  <si>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</si>
  <si>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</si>
  <si>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Оплата комунальних послуг та енергоносіїв</t>
  </si>
  <si>
    <t>Штатна чисельність працівників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</si>
  <si>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</si>
  <si>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</si>
  <si>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</si>
  <si>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</si>
  <si>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</si>
  <si>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</si>
  <si>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</si>
  <si>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</si>
  <si>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</si>
  <si>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</si>
  <si>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</si>
  <si>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</si>
  <si>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</si>
  <si>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</si>
  <si>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</si>
  <si>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</si>
  <si>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</si>
  <si>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</si>
  <si>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</si>
  <si>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</si>
  <si>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</si>
  <si>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</si>
  <si>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 xml:space="preserve"> Комунального некомерційного підприємства "Міська клінічна лікарня №6" Дніпровської міської ради</t>
  </si>
  <si>
    <t>Інші надходження (дохід) (інтерни на контрактній формі навчання, клінічні випробування, % по депозиту, залишок коштів минулих періодів)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</si>
  <si>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</si>
  <si>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</si>
  <si>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</si>
  <si>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</si>
  <si>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Головний бухгалтер</t>
  </si>
  <si>
    <t>Зоя ПІДГАЙКО</t>
  </si>
  <si>
    <t>Додаток 2</t>
  </si>
  <si>
    <t>ЗВІТ ПРО ВИКОНАННЯ ФІНАНСОВОГО ПЛАНУ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</si>
  <si>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</si>
  <si>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</si>
  <si>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</si>
  <si>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</si>
  <si>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</si>
  <si>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</si>
  <si>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</si>
  <si>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 xml:space="preserve">   медична субвенція та інши субвенції</t>
  </si>
  <si>
    <t>Дохід (виручка) за рахунок коштів бюджету міста</t>
  </si>
  <si>
    <t>Інші доходи, у т.ч.:</t>
  </si>
  <si>
    <t>Інші надходження (дохід)</t>
  </si>
  <si>
    <t>доходи з місцевого бюджету цільового фінансування по капітальних видатках</t>
  </si>
  <si>
    <t>основні засоби</t>
  </si>
  <si>
    <t>інші необоротни матеріальни активи</t>
  </si>
  <si>
    <t>нематеріальні активи</t>
  </si>
  <si>
    <t>Медичний директор</t>
  </si>
  <si>
    <t>Тетяна ПОДВІГІНА</t>
  </si>
  <si>
    <t>за IІ квартал 2023р. (квартал, рік)</t>
  </si>
  <si>
    <t>Звітний період  IІ  квартал 2023р.року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</si>
</sst>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.000"/>
    <numFmt numFmtId="183" formatCode="0.000"/>
    <numFmt numFmtId="184" formatCode="#,##0.0"/>
  </numFmts>
  <fonts count="46"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0" fontId="11" fillId="0" borderId="0" xfId="49" applyFont="1">
      <alignment/>
      <protection/>
    </xf>
    <xf numFmtId="0" fontId="11" fillId="33" borderId="0" xfId="49" applyFont="1" applyFill="1">
      <alignment/>
      <protection/>
    </xf>
    <xf numFmtId="0" fontId="9" fillId="0" borderId="0" xfId="49" applyFo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182" fontId="5" fillId="0" borderId="0" xfId="49" applyNumberFormat="1" applyFont="1" applyFill="1" applyBorder="1" applyAlignment="1">
      <alignment horizontal="center"/>
      <protection/>
    </xf>
    <xf numFmtId="182" fontId="9" fillId="0" borderId="0" xfId="49" applyNumberFormat="1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34" borderId="0" xfId="49" applyFont="1" applyFill="1" applyBorder="1">
      <alignment/>
      <protection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182" fontId="6" fillId="0" borderId="0" xfId="0" applyNumberFormat="1" applyFont="1" applyFill="1" applyBorder="1" applyAlignment="1">
      <alignment horizontal="center"/>
    </xf>
    <xf numFmtId="0" fontId="2" fillId="0" borderId="0" xfId="49" applyFont="1" applyAlignment="1" applyProtection="1">
      <alignment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4" fillId="34" borderId="0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horizontal="center"/>
      <protection/>
    </xf>
    <xf numFmtId="0" fontId="5" fillId="34" borderId="14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34" borderId="10" xfId="0" applyFont="1" applyFill="1" applyBorder="1" applyAlignment="1" applyProtection="1">
      <alignment horizontal="justify" vertical="center" wrapText="1"/>
      <protection locked="0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6" fillId="34" borderId="13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34" borderId="11" xfId="49" applyFont="1" applyFill="1" applyBorder="1" applyAlignment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/>
    </xf>
    <xf numFmtId="4" fontId="6" fillId="35" borderId="20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5" fillId="0" borderId="0" xfId="49" applyNumberFormat="1" applyFont="1" applyAlignment="1">
      <alignment horizontal="center"/>
      <protection/>
    </xf>
    <xf numFmtId="4" fontId="9" fillId="0" borderId="0" xfId="49" applyNumberFormat="1" applyFont="1" applyAlignment="1">
      <alignment horizontal="center"/>
      <protection/>
    </xf>
    <xf numFmtId="4" fontId="3" fillId="0" borderId="0" xfId="49" applyNumberFormat="1" applyFont="1" applyAlignment="1" applyProtection="1">
      <alignment horizontal="center" vertical="center" wrapText="1"/>
      <protection locked="0"/>
    </xf>
    <xf numFmtId="4" fontId="4" fillId="0" borderId="0" xfId="49" applyNumberFormat="1" applyFont="1" applyAlignment="1" applyProtection="1">
      <alignment horizontal="center" vertical="center" wrapText="1"/>
      <protection locked="0"/>
    </xf>
    <xf numFmtId="4" fontId="10" fillId="0" borderId="0" xfId="49" applyNumberFormat="1" applyFont="1" applyAlignment="1" applyProtection="1">
      <alignment horizontal="center" vertical="center"/>
      <protection locked="0"/>
    </xf>
    <xf numFmtId="4" fontId="2" fillId="0" borderId="0" xfId="49" applyNumberFormat="1" applyFont="1" applyAlignment="1" applyProtection="1">
      <alignment horizontal="left" vertical="center" wrapText="1"/>
      <protection locked="0"/>
    </xf>
    <xf numFmtId="4" fontId="7" fillId="34" borderId="13" xfId="49" applyNumberFormat="1" applyFont="1" applyFill="1" applyBorder="1" applyAlignment="1">
      <alignment horizontal="center" vertical="center" wrapText="1"/>
      <protection/>
    </xf>
    <xf numFmtId="4" fontId="7" fillId="34" borderId="10" xfId="49" applyNumberFormat="1" applyFont="1" applyFill="1" applyBorder="1" applyAlignment="1">
      <alignment horizontal="center" vertical="center" wrapText="1"/>
      <protection/>
    </xf>
    <xf numFmtId="4" fontId="7" fillId="34" borderId="18" xfId="49" applyNumberFormat="1" applyFont="1" applyFill="1" applyBorder="1" applyAlignment="1">
      <alignment horizontal="center" vertical="center" wrapText="1"/>
      <protection/>
    </xf>
    <xf numFmtId="1" fontId="6" fillId="34" borderId="10" xfId="49" applyNumberFormat="1" applyFont="1" applyFill="1" applyBorder="1" applyAlignment="1">
      <alignment horizontal="center" vertical="center" wrapText="1"/>
      <protection/>
    </xf>
    <xf numFmtId="1" fontId="6" fillId="34" borderId="13" xfId="49" applyNumberFormat="1" applyFont="1" applyFill="1" applyBorder="1" applyAlignment="1">
      <alignment horizontal="center" vertical="center" wrapText="1"/>
      <protection/>
    </xf>
    <xf numFmtId="1" fontId="6" fillId="34" borderId="11" xfId="49" applyNumberFormat="1" applyFont="1" applyFill="1" applyBorder="1" applyAlignment="1">
      <alignment horizontal="center" vertical="center" wrapText="1"/>
      <protection/>
    </xf>
    <xf numFmtId="1" fontId="6" fillId="0" borderId="11" xfId="49" applyNumberFormat="1" applyFont="1" applyBorder="1" applyAlignment="1">
      <alignment horizontal="center"/>
      <protection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4" fontId="9" fillId="0" borderId="0" xfId="49" applyNumberFormat="1" applyFont="1" applyFill="1" applyAlignment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" fontId="3" fillId="36" borderId="16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5" borderId="21" xfId="0" applyNumberFormat="1" applyFont="1" applyFill="1" applyBorder="1" applyAlignment="1">
      <alignment horizontal="center" vertical="center" wrapText="1"/>
    </xf>
    <xf numFmtId="4" fontId="6" fillId="35" borderId="18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82" fontId="6" fillId="35" borderId="16" xfId="0" applyNumberFormat="1" applyFont="1" applyFill="1" applyBorder="1" applyAlignment="1">
      <alignment horizontal="center" vertical="center" wrapText="1"/>
    </xf>
    <xf numFmtId="0" fontId="3" fillId="34" borderId="22" xfId="49" applyFont="1" applyFill="1" applyBorder="1" applyAlignment="1">
      <alignment horizontal="center" vertical="center" wrapText="1"/>
      <protection/>
    </xf>
    <xf numFmtId="0" fontId="3" fillId="34" borderId="0" xfId="49" applyFont="1" applyFill="1" applyBorder="1" applyAlignment="1">
      <alignment horizontal="center" vertical="center" wrapText="1"/>
      <protection/>
    </xf>
    <xf numFmtId="0" fontId="3" fillId="34" borderId="23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34" borderId="14" xfId="49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4" xfId="49" applyFont="1" applyFill="1" applyBorder="1" applyAlignment="1">
      <alignment horizontal="center"/>
      <protection/>
    </xf>
    <xf numFmtId="0" fontId="2" fillId="0" borderId="0" xfId="49" applyFont="1" applyAlignment="1" applyProtection="1">
      <alignment horizontal="left" vertical="center" wrapText="1"/>
      <protection locked="0"/>
    </xf>
    <xf numFmtId="0" fontId="8" fillId="0" borderId="0" xfId="49" applyFont="1" applyAlignment="1" applyProtection="1">
      <alignment horizontal="center" vertical="center" wrapText="1"/>
      <protection locked="0"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8" fillId="0" borderId="26" xfId="49" applyFont="1" applyBorder="1" applyAlignment="1" applyProtection="1">
      <alignment horizontal="center" vertical="center" wrapText="1"/>
      <protection locked="0"/>
    </xf>
    <xf numFmtId="0" fontId="4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4" fontId="7" fillId="34" borderId="13" xfId="49" applyNumberFormat="1" applyFont="1" applyFill="1" applyBorder="1" applyAlignment="1">
      <alignment horizontal="center" vertical="center" wrapText="1"/>
      <protection/>
    </xf>
    <xf numFmtId="4" fontId="7" fillId="34" borderId="30" xfId="49" applyNumberFormat="1" applyFont="1" applyFill="1" applyBorder="1" applyAlignment="1">
      <alignment horizontal="center" vertical="center" wrapText="1"/>
      <protection/>
    </xf>
    <xf numFmtId="4" fontId="7" fillId="34" borderId="31" xfId="49" applyNumberFormat="1" applyFont="1" applyFill="1" applyBorder="1" applyAlignment="1">
      <alignment horizontal="center" vertical="center" wrapText="1"/>
      <protection/>
    </xf>
    <xf numFmtId="0" fontId="3" fillId="35" borderId="2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11" fillId="33" borderId="0" xfId="49" applyFont="1" applyFill="1" applyAlignment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90"/>
  <sheetViews>
    <sheetView tabSelected="1" zoomScalePageLayoutView="0" workbookViewId="0" topLeftCell="A1">
      <selection activeCell="K4" sqref="K1:K16384"/>
    </sheetView>
  </sheetViews>
  <sheetFormatPr defaultColWidth="9.140625" defaultRowHeight="15"/>
  <cols>
    <col min="1" max="1" width="72.57421875" style="5" customWidth="1"/>
    <col min="2" max="2" width="7.140625" style="5" customWidth="1"/>
    <col min="3" max="4" width="15.28125" style="84" customWidth="1"/>
    <col min="5" max="5" width="18.421875" style="84" customWidth="1"/>
    <col min="6" max="6" width="13.8515625" style="84" customWidth="1"/>
    <col min="7" max="7" width="17.57421875" style="84" customWidth="1"/>
    <col min="8" max="8" width="16.00390625" style="84" customWidth="1"/>
    <col min="9" max="9" width="16.140625" style="84" customWidth="1"/>
    <col min="10" max="10" width="13.421875" style="2" customWidth="1"/>
    <col min="11" max="11" width="14.00390625" style="4" customWidth="1"/>
    <col min="12" max="17" width="9.140625" style="4" customWidth="1"/>
    <col min="18" max="16384" width="9.140625" style="3" customWidth="1"/>
  </cols>
  <sheetData>
    <row r="1" spans="1:8" ht="13.5" customHeight="1">
      <c r="A1" s="1"/>
      <c r="B1" s="1"/>
      <c r="C1" s="83"/>
      <c r="E1" s="85" t="s">
        <v>78</v>
      </c>
      <c r="F1" s="86"/>
      <c r="G1" s="86"/>
      <c r="H1" s="87"/>
    </row>
    <row r="2" spans="1:10" ht="20.25" customHeight="1">
      <c r="A2" s="1"/>
      <c r="B2" s="1"/>
      <c r="C2" s="83"/>
      <c r="E2" s="153" t="s">
        <v>0</v>
      </c>
      <c r="F2" s="153"/>
      <c r="G2" s="153"/>
      <c r="H2" s="153"/>
      <c r="I2" s="153"/>
      <c r="J2" s="153"/>
    </row>
    <row r="3" spans="1:10" s="4" customFormat="1" ht="16.5" customHeight="1">
      <c r="A3" s="34"/>
      <c r="B3" s="1"/>
      <c r="C3" s="83"/>
      <c r="D3" s="84"/>
      <c r="E3" s="88"/>
      <c r="F3" s="88"/>
      <c r="G3" s="88"/>
      <c r="H3" s="88"/>
      <c r="I3" s="88"/>
      <c r="J3" s="35"/>
    </row>
    <row r="4" spans="1:10" s="4" customFormat="1" ht="16.5" customHeight="1">
      <c r="A4" s="154" t="s">
        <v>79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s="4" customFormat="1" ht="22.5" customHeight="1">
      <c r="A5" s="157" t="s">
        <v>70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s="4" customFormat="1" ht="12.75" customHeight="1">
      <c r="A6" s="158" t="s">
        <v>1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s="4" customFormat="1" ht="19.5" customHeight="1">
      <c r="A7" s="159" t="s">
        <v>97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s="4" customFormat="1" ht="30" customHeight="1">
      <c r="A8" s="156" t="s">
        <v>2</v>
      </c>
      <c r="B8" s="156" t="s">
        <v>3</v>
      </c>
      <c r="C8" s="161" t="s">
        <v>98</v>
      </c>
      <c r="D8" s="162"/>
      <c r="E8" s="162"/>
      <c r="F8" s="163"/>
      <c r="G8" s="155" t="s">
        <v>80</v>
      </c>
      <c r="H8" s="155"/>
      <c r="I8" s="155"/>
      <c r="J8" s="155"/>
    </row>
    <row r="9" spans="1:10" s="4" customFormat="1" ht="36" customHeight="1">
      <c r="A9" s="156"/>
      <c r="B9" s="156"/>
      <c r="C9" s="90" t="s">
        <v>81</v>
      </c>
      <c r="D9" s="90" t="s">
        <v>82</v>
      </c>
      <c r="E9" s="90" t="s">
        <v>83</v>
      </c>
      <c r="F9" s="91" t="s">
        <v>84</v>
      </c>
      <c r="G9" s="90" t="s">
        <v>81</v>
      </c>
      <c r="H9" s="90" t="s">
        <v>82</v>
      </c>
      <c r="I9" s="89" t="s">
        <v>83</v>
      </c>
      <c r="J9" s="57" t="s">
        <v>84</v>
      </c>
    </row>
    <row r="10" spans="1:10" s="4" customFormat="1" ht="18">
      <c r="A10" s="6" t="s">
        <v>4</v>
      </c>
      <c r="B10" s="6" t="s">
        <v>5</v>
      </c>
      <c r="C10" s="92">
        <v>3</v>
      </c>
      <c r="D10" s="92">
        <v>4</v>
      </c>
      <c r="E10" s="92">
        <v>5</v>
      </c>
      <c r="F10" s="93">
        <v>6</v>
      </c>
      <c r="G10" s="94">
        <v>7</v>
      </c>
      <c r="H10" s="95">
        <v>8</v>
      </c>
      <c r="I10" s="95">
        <v>9</v>
      </c>
      <c r="J10" s="95">
        <v>10</v>
      </c>
    </row>
    <row r="11" spans="1:10" s="4" customFormat="1" ht="13.5" customHeight="1">
      <c r="A11" s="137" t="s">
        <v>12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s="4" customFormat="1" ht="13.5" customHeight="1">
      <c r="A12" s="49" t="s">
        <v>85</v>
      </c>
      <c r="B12" s="54" t="s">
        <v>10</v>
      </c>
      <c r="C12" s="82">
        <f>C13+C14</f>
        <v>65620891.05</v>
      </c>
      <c r="D12" s="61">
        <f>D13+D14</f>
        <v>68615937.79</v>
      </c>
      <c r="E12" s="61">
        <f>D12-C12</f>
        <v>2995046.7400000095</v>
      </c>
      <c r="F12" s="56">
        <f>(D12/C12)*100</f>
        <v>104.56416652086898</v>
      </c>
      <c r="G12" s="82">
        <f>G13+G14</f>
        <v>144544566.39999998</v>
      </c>
      <c r="H12" s="61">
        <f>H13+H14</f>
        <v>147539613.14</v>
      </c>
      <c r="I12" s="61">
        <f>H12-G12</f>
        <v>2995046.7400000095</v>
      </c>
      <c r="J12" s="61">
        <f aca="true" t="shared" si="0" ref="J12:J23">(H12/G12)*100</f>
        <v>102.07205764602163</v>
      </c>
    </row>
    <row r="13" spans="1:17" s="2" customFormat="1" ht="18">
      <c r="A13" s="8" t="s">
        <v>86</v>
      </c>
      <c r="B13" s="7" t="s">
        <v>13</v>
      </c>
      <c r="C13" s="117">
        <v>65620891.05</v>
      </c>
      <c r="D13" s="62">
        <v>68615937.79</v>
      </c>
      <c r="E13" s="61">
        <f aca="true" t="shared" si="1" ref="E13:E65">D13-C13</f>
        <v>2995046.7400000095</v>
      </c>
      <c r="F13" s="56">
        <f aca="true" t="shared" si="2" ref="F13:F40">(D13/C13)*100</f>
        <v>104.56416652086898</v>
      </c>
      <c r="G13" s="117">
        <f>78923675.35+65620891.05</f>
        <v>144544566.39999998</v>
      </c>
      <c r="H13" s="62">
        <f>78923675.35+68615937.79</f>
        <v>147539613.14</v>
      </c>
      <c r="I13" s="61">
        <f aca="true" t="shared" si="3" ref="I13:I23">H13-G13</f>
        <v>2995046.7400000095</v>
      </c>
      <c r="J13" s="61">
        <f t="shared" si="0"/>
        <v>102.07205764602163</v>
      </c>
      <c r="K13" s="4"/>
      <c r="L13" s="4"/>
      <c r="M13" s="4"/>
      <c r="N13" s="4"/>
      <c r="O13" s="4"/>
      <c r="P13" s="4"/>
      <c r="Q13" s="4"/>
    </row>
    <row r="14" spans="1:17" s="2" customFormat="1" ht="18">
      <c r="A14" s="48" t="s">
        <v>87</v>
      </c>
      <c r="B14" s="47" t="s">
        <v>14</v>
      </c>
      <c r="C14" s="118">
        <v>0</v>
      </c>
      <c r="D14" s="63">
        <v>0</v>
      </c>
      <c r="E14" s="61">
        <f t="shared" si="1"/>
        <v>0</v>
      </c>
      <c r="F14" s="56" t="e">
        <f t="shared" si="2"/>
        <v>#DIV/0!</v>
      </c>
      <c r="G14" s="122">
        <v>0</v>
      </c>
      <c r="H14" s="65">
        <v>0</v>
      </c>
      <c r="I14" s="61">
        <f t="shared" si="3"/>
        <v>0</v>
      </c>
      <c r="J14" s="61" t="e">
        <f t="shared" si="0"/>
        <v>#DIV/0!</v>
      </c>
      <c r="K14" s="4"/>
      <c r="L14" s="4"/>
      <c r="M14" s="4"/>
      <c r="N14" s="4"/>
      <c r="O14" s="4"/>
      <c r="P14" s="4"/>
      <c r="Q14" s="4"/>
    </row>
    <row r="15" spans="1:17" s="2" customFormat="1" ht="18">
      <c r="A15" s="50" t="s">
        <v>88</v>
      </c>
      <c r="B15" s="58" t="s">
        <v>11</v>
      </c>
      <c r="C15" s="119">
        <f>C16</f>
        <v>6906689</v>
      </c>
      <c r="D15" s="66">
        <f>D16</f>
        <v>7851384.65</v>
      </c>
      <c r="E15" s="96">
        <f t="shared" si="1"/>
        <v>944695.6500000004</v>
      </c>
      <c r="F15" s="67">
        <f t="shared" si="2"/>
        <v>113.67798159146881</v>
      </c>
      <c r="G15" s="119">
        <f>G16</f>
        <v>14547502.219999999</v>
      </c>
      <c r="H15" s="66">
        <f>H16</f>
        <v>15492197.870000001</v>
      </c>
      <c r="I15" s="96">
        <f t="shared" si="3"/>
        <v>944695.6500000022</v>
      </c>
      <c r="J15" s="96">
        <f t="shared" si="0"/>
        <v>106.49386840237926</v>
      </c>
      <c r="K15" s="4"/>
      <c r="L15" s="4"/>
      <c r="M15" s="4"/>
      <c r="N15" s="4"/>
      <c r="O15" s="4"/>
      <c r="P15" s="4"/>
      <c r="Q15" s="4"/>
    </row>
    <row r="16" spans="1:17" s="2" customFormat="1" ht="44.25" customHeight="1">
      <c r="A16" s="10" t="s">
        <v>68</v>
      </c>
      <c r="B16" s="59" t="s">
        <v>66</v>
      </c>
      <c r="C16" s="120">
        <v>6906689</v>
      </c>
      <c r="D16" s="68">
        <v>7851384.65</v>
      </c>
      <c r="E16" s="96">
        <f>D16-C16</f>
        <v>944695.6500000004</v>
      </c>
      <c r="F16" s="67">
        <f>(D16/C16)*100</f>
        <v>113.67798159146881</v>
      </c>
      <c r="G16" s="120">
        <f>7640813.22+6906689</f>
        <v>14547502.219999999</v>
      </c>
      <c r="H16" s="68">
        <f>7640813.22+7851384.65</f>
        <v>15492197.870000001</v>
      </c>
      <c r="I16" s="61">
        <f>H16-G16</f>
        <v>944695.6500000022</v>
      </c>
      <c r="J16" s="61">
        <f>(H16/G16)*100</f>
        <v>106.49386840237926</v>
      </c>
      <c r="K16" s="4"/>
      <c r="L16" s="4"/>
      <c r="M16" s="4"/>
      <c r="N16" s="4"/>
      <c r="O16" s="4"/>
      <c r="P16" s="4"/>
      <c r="Q16" s="4"/>
    </row>
    <row r="17" spans="1:17" s="2" customFormat="1" ht="18">
      <c r="A17" s="97" t="s">
        <v>89</v>
      </c>
      <c r="B17" s="98">
        <v>1030</v>
      </c>
      <c r="C17" s="121">
        <f>C18+C19+C20+C21+C22+C23+C24+C25+C26</f>
        <v>19354098.25</v>
      </c>
      <c r="D17" s="99">
        <f>D18+D19+D20+D21+D22+D23+D24+D25+D26</f>
        <v>12143324.959999999</v>
      </c>
      <c r="E17" s="61">
        <f t="shared" si="1"/>
        <v>-7210773.290000001</v>
      </c>
      <c r="F17" s="61">
        <f t="shared" si="2"/>
        <v>62.74291265417131</v>
      </c>
      <c r="G17" s="121">
        <f>G18+G19+G20+G21+G22+G23+G24+G25+G26</f>
        <v>30021448</v>
      </c>
      <c r="H17" s="121">
        <f>H18+H19+H20+H21+H22+H23+H24+H25+H26</f>
        <v>22810674.71</v>
      </c>
      <c r="I17" s="61">
        <f t="shared" si="3"/>
        <v>-7210773.289999999</v>
      </c>
      <c r="J17" s="61">
        <f t="shared" si="0"/>
        <v>75.98126083059019</v>
      </c>
      <c r="K17" s="4"/>
      <c r="L17" s="4"/>
      <c r="M17" s="4"/>
      <c r="N17" s="4"/>
      <c r="O17" s="4"/>
      <c r="P17" s="4"/>
      <c r="Q17" s="4"/>
    </row>
    <row r="18" spans="1:17" s="2" customFormat="1" ht="32.25">
      <c r="A18" s="45" t="s">
        <v>49</v>
      </c>
      <c r="B18" s="11">
        <v>1031</v>
      </c>
      <c r="C18" s="81">
        <v>0</v>
      </c>
      <c r="D18" s="100">
        <v>0</v>
      </c>
      <c r="E18" s="61">
        <f t="shared" si="1"/>
        <v>0</v>
      </c>
      <c r="F18" s="101" t="e">
        <f t="shared" si="2"/>
        <v>#DIV/0!</v>
      </c>
      <c r="G18" s="81">
        <v>0</v>
      </c>
      <c r="H18" s="69">
        <v>0</v>
      </c>
      <c r="I18" s="61">
        <f t="shared" si="3"/>
        <v>0</v>
      </c>
      <c r="J18" s="61" t="e">
        <f t="shared" si="0"/>
        <v>#DIV/0!</v>
      </c>
      <c r="K18" s="4"/>
      <c r="L18" s="4"/>
      <c r="M18" s="4"/>
      <c r="N18" s="4"/>
      <c r="O18" s="4"/>
      <c r="P18" s="4"/>
      <c r="Q18" s="4"/>
    </row>
    <row r="19" spans="1:10" ht="32.25">
      <c r="A19" s="45" t="s">
        <v>63</v>
      </c>
      <c r="B19" s="11">
        <v>1032</v>
      </c>
      <c r="C19" s="69">
        <v>1128656.25</v>
      </c>
      <c r="D19" s="100">
        <v>1952985</v>
      </c>
      <c r="E19" s="61">
        <f t="shared" si="1"/>
        <v>824328.75</v>
      </c>
      <c r="F19" s="56">
        <f t="shared" si="2"/>
        <v>173.03629869590497</v>
      </c>
      <c r="G19" s="69">
        <f>1729261+1128656.25</f>
        <v>2857917.25</v>
      </c>
      <c r="H19" s="69">
        <f>1729261+1952985</f>
        <v>3682246</v>
      </c>
      <c r="I19" s="61">
        <f t="shared" si="3"/>
        <v>824328.75</v>
      </c>
      <c r="J19" s="61">
        <f t="shared" si="0"/>
        <v>128.84368852877037</v>
      </c>
    </row>
    <row r="20" spans="1:10" ht="18">
      <c r="A20" s="102" t="s">
        <v>6</v>
      </c>
      <c r="B20" s="11">
        <v>1033</v>
      </c>
      <c r="C20" s="69">
        <v>509074</v>
      </c>
      <c r="D20" s="100">
        <v>3347603.58</v>
      </c>
      <c r="E20" s="61">
        <f t="shared" si="1"/>
        <v>2838529.58</v>
      </c>
      <c r="F20" s="56">
        <f t="shared" si="2"/>
        <v>657.5868302054319</v>
      </c>
      <c r="G20" s="79">
        <f>3900368.7+509074</f>
        <v>4409442.7</v>
      </c>
      <c r="H20" s="69">
        <f>3900368.7+3347603.58</f>
        <v>7247972.28</v>
      </c>
      <c r="I20" s="61">
        <f t="shared" si="3"/>
        <v>2838529.58</v>
      </c>
      <c r="J20" s="61">
        <f t="shared" si="0"/>
        <v>164.37388516240387</v>
      </c>
    </row>
    <row r="21" spans="1:10" ht="18">
      <c r="A21" s="45" t="s">
        <v>64</v>
      </c>
      <c r="B21" s="11">
        <v>1034</v>
      </c>
      <c r="C21" s="69">
        <v>0</v>
      </c>
      <c r="D21" s="100">
        <v>0</v>
      </c>
      <c r="E21" s="61">
        <f t="shared" si="1"/>
        <v>0</v>
      </c>
      <c r="F21" s="56" t="e">
        <f t="shared" si="2"/>
        <v>#DIV/0!</v>
      </c>
      <c r="G21" s="80">
        <v>0</v>
      </c>
      <c r="H21" s="103">
        <v>0</v>
      </c>
      <c r="I21" s="61">
        <f t="shared" si="3"/>
        <v>0</v>
      </c>
      <c r="J21" s="61" t="e">
        <f t="shared" si="0"/>
        <v>#DIV/0!</v>
      </c>
    </row>
    <row r="22" spans="1:10" ht="18">
      <c r="A22" s="102" t="s">
        <v>67</v>
      </c>
      <c r="B22" s="11">
        <v>1035</v>
      </c>
      <c r="C22" s="69">
        <v>500000</v>
      </c>
      <c r="D22" s="100">
        <v>566685.46</v>
      </c>
      <c r="E22" s="61">
        <f t="shared" si="1"/>
        <v>66685.45999999996</v>
      </c>
      <c r="F22" s="56">
        <f t="shared" si="2"/>
        <v>113.337092</v>
      </c>
      <c r="G22" s="79">
        <f>539426.5+500000</f>
        <v>1039426.5</v>
      </c>
      <c r="H22" s="103">
        <f>539426.5+566685.46</f>
        <v>1106111.96</v>
      </c>
      <c r="I22" s="61">
        <f t="shared" si="3"/>
        <v>66685.45999999996</v>
      </c>
      <c r="J22" s="61">
        <f t="shared" si="0"/>
        <v>106.4156012955221</v>
      </c>
    </row>
    <row r="23" spans="1:10" ht="18">
      <c r="A23" s="10" t="s">
        <v>48</v>
      </c>
      <c r="B23" s="11">
        <v>1036</v>
      </c>
      <c r="C23" s="69">
        <v>287500</v>
      </c>
      <c r="D23" s="100">
        <v>212461.62</v>
      </c>
      <c r="E23" s="96">
        <f t="shared" si="1"/>
        <v>-75038.38</v>
      </c>
      <c r="F23" s="67">
        <f t="shared" si="2"/>
        <v>73.89969391304348</v>
      </c>
      <c r="G23" s="81">
        <f>327580.98+287500</f>
        <v>615080.98</v>
      </c>
      <c r="H23" s="69">
        <f>327580.98+212461.62</f>
        <v>540042.6</v>
      </c>
      <c r="I23" s="96">
        <f t="shared" si="3"/>
        <v>-75038.38</v>
      </c>
      <c r="J23" s="96">
        <f t="shared" si="0"/>
        <v>87.80024379879215</v>
      </c>
    </row>
    <row r="24" spans="1:10" ht="18">
      <c r="A24" s="104" t="s">
        <v>65</v>
      </c>
      <c r="B24" s="105">
        <v>1037</v>
      </c>
      <c r="C24" s="69">
        <v>50000</v>
      </c>
      <c r="D24" s="81">
        <v>2373310.13</v>
      </c>
      <c r="E24" s="96">
        <f>D24-C24</f>
        <v>2323310.13</v>
      </c>
      <c r="F24" s="67">
        <f>(D24/C24)*100</f>
        <v>4746.62026</v>
      </c>
      <c r="G24" s="81">
        <f>1366153.12+50000</f>
        <v>1416153.12</v>
      </c>
      <c r="H24" s="69">
        <f>1366153.12+2373310.13</f>
        <v>3739463.25</v>
      </c>
      <c r="I24" s="96">
        <f>H24-G24</f>
        <v>2323310.13</v>
      </c>
      <c r="J24" s="96">
        <f>(H24/G24)*100</f>
        <v>264.05783366137695</v>
      </c>
    </row>
    <row r="25" spans="1:10" ht="33.75" customHeight="1">
      <c r="A25" s="45" t="s">
        <v>71</v>
      </c>
      <c r="B25" s="11">
        <v>1038</v>
      </c>
      <c r="C25" s="69">
        <v>16878868</v>
      </c>
      <c r="D25" s="81">
        <v>3690279.17</v>
      </c>
      <c r="E25" s="96">
        <f>D25-C25</f>
        <v>-13188588.83</v>
      </c>
      <c r="F25" s="67">
        <f>(D25/C25)*100</f>
        <v>21.863309612943237</v>
      </c>
      <c r="G25" s="81">
        <f>2804559.45+16878868</f>
        <v>19683427.45</v>
      </c>
      <c r="H25" s="69">
        <f>2804559.45+3690279.17</f>
        <v>6494838.62</v>
      </c>
      <c r="I25" s="96">
        <f>H25-G25</f>
        <v>-13188588.829999998</v>
      </c>
      <c r="J25" s="96">
        <f>(H25/G25)*100</f>
        <v>32.99648212435686</v>
      </c>
    </row>
    <row r="26" spans="1:10" s="75" customFormat="1" ht="18">
      <c r="A26" s="45" t="s">
        <v>90</v>
      </c>
      <c r="B26" s="74">
        <v>1039</v>
      </c>
      <c r="C26" s="81">
        <v>0</v>
      </c>
      <c r="D26" s="81">
        <v>0</v>
      </c>
      <c r="E26" s="96">
        <f>D26-C26</f>
        <v>0</v>
      </c>
      <c r="F26" s="67" t="e">
        <f>(D26/C26)*100</f>
        <v>#DIV/0!</v>
      </c>
      <c r="G26" s="81">
        <v>0</v>
      </c>
      <c r="H26" s="69">
        <v>0</v>
      </c>
      <c r="I26" s="96">
        <f>H26-G26</f>
        <v>0</v>
      </c>
      <c r="J26" s="96" t="e">
        <f>(H26/G26)*100</f>
        <v>#DIV/0!</v>
      </c>
    </row>
    <row r="27" spans="1:10" ht="18">
      <c r="A27" s="160" t="s">
        <v>50</v>
      </c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ht="18">
      <c r="A28" s="21" t="s">
        <v>15</v>
      </c>
      <c r="B28" s="13">
        <v>1040</v>
      </c>
      <c r="C28" s="55">
        <v>52816508</v>
      </c>
      <c r="D28" s="79">
        <v>43541305.69</v>
      </c>
      <c r="E28" s="99">
        <f t="shared" si="1"/>
        <v>-9275202.310000002</v>
      </c>
      <c r="F28" s="101">
        <f t="shared" si="2"/>
        <v>82.43881948802824</v>
      </c>
      <c r="G28" s="55">
        <f>42428534.6+52816508</f>
        <v>95245042.6</v>
      </c>
      <c r="H28" s="79">
        <f>42428534.6+43541305.69</f>
        <v>85969840.28999999</v>
      </c>
      <c r="I28" s="99">
        <f aca="true" t="shared" si="4" ref="I28:I40">H28-G28</f>
        <v>-9275202.310000002</v>
      </c>
      <c r="J28" s="99">
        <f aca="true" t="shared" si="5" ref="J28:J40">(H28/G28)*100</f>
        <v>90.2617479536935</v>
      </c>
    </row>
    <row r="29" spans="1:10" ht="18">
      <c r="A29" s="12" t="s">
        <v>16</v>
      </c>
      <c r="B29" s="14">
        <v>1050</v>
      </c>
      <c r="C29" s="71">
        <v>11619631.76</v>
      </c>
      <c r="D29" s="78">
        <v>9405198.58</v>
      </c>
      <c r="E29" s="61">
        <f t="shared" si="1"/>
        <v>-2214433.1799999997</v>
      </c>
      <c r="F29" s="56">
        <f t="shared" si="2"/>
        <v>80.94231189302337</v>
      </c>
      <c r="G29" s="71">
        <f>9123398.65+11619631.76</f>
        <v>20743030.41</v>
      </c>
      <c r="H29" s="78">
        <f>9123398.65+9405198.58</f>
        <v>18528597.23</v>
      </c>
      <c r="I29" s="61">
        <f t="shared" si="4"/>
        <v>-2214433.1799999997</v>
      </c>
      <c r="J29" s="61">
        <f t="shared" si="5"/>
        <v>89.32444712161033</v>
      </c>
    </row>
    <row r="30" spans="1:10" ht="18">
      <c r="A30" s="12" t="s">
        <v>17</v>
      </c>
      <c r="B30" s="14">
        <v>1060</v>
      </c>
      <c r="C30" s="71">
        <v>885000</v>
      </c>
      <c r="D30" s="100">
        <v>675540.3</v>
      </c>
      <c r="E30" s="61">
        <f t="shared" si="1"/>
        <v>-209459.69999999995</v>
      </c>
      <c r="F30" s="56">
        <f t="shared" si="2"/>
        <v>76.3322372881356</v>
      </c>
      <c r="G30" s="71">
        <f>499993.79+885000</f>
        <v>1384993.79</v>
      </c>
      <c r="H30" s="100">
        <f>499993.79+675540.3</f>
        <v>1175534.09</v>
      </c>
      <c r="I30" s="61">
        <f t="shared" si="4"/>
        <v>-209459.69999999995</v>
      </c>
      <c r="J30" s="61">
        <f t="shared" si="5"/>
        <v>84.87648814656418</v>
      </c>
    </row>
    <row r="31" spans="1:10" ht="18">
      <c r="A31" s="12" t="s">
        <v>18</v>
      </c>
      <c r="B31" s="14">
        <v>1070</v>
      </c>
      <c r="C31" s="71">
        <v>13688214</v>
      </c>
      <c r="D31" s="81">
        <v>10933899.03</v>
      </c>
      <c r="E31" s="61">
        <f t="shared" si="1"/>
        <v>-2754314.9700000007</v>
      </c>
      <c r="F31" s="56">
        <f t="shared" si="2"/>
        <v>79.87820054537428</v>
      </c>
      <c r="G31" s="71">
        <f>9682937.77+13688214</f>
        <v>23371151.77</v>
      </c>
      <c r="H31" s="81">
        <f>9682937.77+10933899.03</f>
        <v>20616836.799999997</v>
      </c>
      <c r="I31" s="61">
        <f t="shared" si="4"/>
        <v>-2754314.9700000025</v>
      </c>
      <c r="J31" s="61">
        <f t="shared" si="5"/>
        <v>88.21489416907757</v>
      </c>
    </row>
    <row r="32" spans="1:10" ht="18">
      <c r="A32" s="12" t="s">
        <v>19</v>
      </c>
      <c r="B32" s="14">
        <v>1080</v>
      </c>
      <c r="C32" s="71">
        <v>1421882</v>
      </c>
      <c r="D32" s="100">
        <v>1331623.72</v>
      </c>
      <c r="E32" s="61">
        <f t="shared" si="1"/>
        <v>-90258.28000000003</v>
      </c>
      <c r="F32" s="56">
        <f t="shared" si="2"/>
        <v>93.65219617380345</v>
      </c>
      <c r="G32" s="71">
        <f>1082683.57+1421882</f>
        <v>2504565.5700000003</v>
      </c>
      <c r="H32" s="100">
        <f>1082683.57+1331623.72</f>
        <v>2414307.29</v>
      </c>
      <c r="I32" s="61">
        <f t="shared" si="4"/>
        <v>-90258.28000000026</v>
      </c>
      <c r="J32" s="61">
        <f t="shared" si="5"/>
        <v>96.39625006902894</v>
      </c>
    </row>
    <row r="33" spans="1:10" ht="18">
      <c r="A33" s="12" t="s">
        <v>20</v>
      </c>
      <c r="B33" s="14">
        <v>1090</v>
      </c>
      <c r="C33" s="71">
        <v>3852299.52</v>
      </c>
      <c r="D33" s="81">
        <v>3425259.36</v>
      </c>
      <c r="E33" s="61">
        <f t="shared" si="1"/>
        <v>-427040.16000000015</v>
      </c>
      <c r="F33" s="56">
        <f t="shared" si="2"/>
        <v>88.91466881578303</v>
      </c>
      <c r="G33" s="71">
        <f>2405182.33+3852299.52</f>
        <v>6257481.85</v>
      </c>
      <c r="H33" s="81">
        <f>2405182.33+3425259.36</f>
        <v>5830441.6899999995</v>
      </c>
      <c r="I33" s="61">
        <f t="shared" si="4"/>
        <v>-427040.16000000015</v>
      </c>
      <c r="J33" s="61">
        <f t="shared" si="5"/>
        <v>93.17552698934315</v>
      </c>
    </row>
    <row r="34" spans="1:10" ht="18">
      <c r="A34" s="12" t="s">
        <v>21</v>
      </c>
      <c r="B34" s="14">
        <v>1100</v>
      </c>
      <c r="C34" s="71">
        <v>0</v>
      </c>
      <c r="D34" s="100">
        <v>0</v>
      </c>
      <c r="E34" s="61">
        <f t="shared" si="1"/>
        <v>0</v>
      </c>
      <c r="F34" s="56" t="e">
        <f t="shared" si="2"/>
        <v>#DIV/0!</v>
      </c>
      <c r="G34" s="71">
        <v>0</v>
      </c>
      <c r="H34" s="100">
        <v>0</v>
      </c>
      <c r="I34" s="61">
        <f t="shared" si="4"/>
        <v>0</v>
      </c>
      <c r="J34" s="61" t="e">
        <f t="shared" si="5"/>
        <v>#DIV/0!</v>
      </c>
    </row>
    <row r="35" spans="1:10" ht="18">
      <c r="A35" s="12" t="s">
        <v>46</v>
      </c>
      <c r="B35" s="14">
        <v>1110</v>
      </c>
      <c r="C35" s="71">
        <v>2932910</v>
      </c>
      <c r="D35" s="100">
        <v>5434935.46</v>
      </c>
      <c r="E35" s="61">
        <f t="shared" si="1"/>
        <v>2502025.46</v>
      </c>
      <c r="F35" s="56">
        <f t="shared" si="2"/>
        <v>185.30863408696484</v>
      </c>
      <c r="G35" s="71">
        <f>5984930.81+2932910</f>
        <v>8917840.809999999</v>
      </c>
      <c r="H35" s="100">
        <f>5984930.81+5434935.46</f>
        <v>11419866.27</v>
      </c>
      <c r="I35" s="61">
        <f t="shared" si="4"/>
        <v>2502025.460000001</v>
      </c>
      <c r="J35" s="61">
        <f t="shared" si="5"/>
        <v>128.05640416001103</v>
      </c>
    </row>
    <row r="36" spans="1:10" ht="31.5">
      <c r="A36" s="15" t="s">
        <v>22</v>
      </c>
      <c r="B36" s="14">
        <v>1120</v>
      </c>
      <c r="C36" s="116">
        <v>0</v>
      </c>
      <c r="D36" s="100">
        <v>0</v>
      </c>
      <c r="E36" s="61">
        <f t="shared" si="1"/>
        <v>0</v>
      </c>
      <c r="F36" s="56" t="e">
        <f t="shared" si="2"/>
        <v>#DIV/0!</v>
      </c>
      <c r="G36" s="116">
        <f>1944</f>
        <v>1944</v>
      </c>
      <c r="H36" s="100">
        <v>1944</v>
      </c>
      <c r="I36" s="61">
        <f t="shared" si="4"/>
        <v>0</v>
      </c>
      <c r="J36" s="61">
        <f t="shared" si="5"/>
        <v>100</v>
      </c>
    </row>
    <row r="37" spans="1:10" ht="18">
      <c r="A37" s="15" t="s">
        <v>23</v>
      </c>
      <c r="B37" s="14">
        <v>1130</v>
      </c>
      <c r="C37" s="71">
        <v>651893.25</v>
      </c>
      <c r="D37" s="81">
        <v>608147.02</v>
      </c>
      <c r="E37" s="61">
        <f t="shared" si="1"/>
        <v>-43746.22999999998</v>
      </c>
      <c r="F37" s="56">
        <f t="shared" si="2"/>
        <v>93.28935680803568</v>
      </c>
      <c r="G37" s="71">
        <f>498936.02+651893.25</f>
        <v>1150829.27</v>
      </c>
      <c r="H37" s="81">
        <f>498936.02+608147.02</f>
        <v>1107083.04</v>
      </c>
      <c r="I37" s="61">
        <f t="shared" si="4"/>
        <v>-43746.22999999998</v>
      </c>
      <c r="J37" s="61">
        <f t="shared" si="5"/>
        <v>96.19872111872859</v>
      </c>
    </row>
    <row r="38" spans="1:10" ht="18">
      <c r="A38" s="12" t="s">
        <v>24</v>
      </c>
      <c r="B38" s="14">
        <v>1140</v>
      </c>
      <c r="C38" s="71">
        <v>0</v>
      </c>
      <c r="D38" s="100">
        <v>0</v>
      </c>
      <c r="E38" s="61">
        <f t="shared" si="1"/>
        <v>0</v>
      </c>
      <c r="F38" s="56" t="e">
        <f t="shared" si="2"/>
        <v>#DIV/0!</v>
      </c>
      <c r="G38" s="71">
        <v>0</v>
      </c>
      <c r="H38" s="100">
        <v>0</v>
      </c>
      <c r="I38" s="61">
        <f t="shared" si="4"/>
        <v>0</v>
      </c>
      <c r="J38" s="61" t="e">
        <f t="shared" si="5"/>
        <v>#DIV/0!</v>
      </c>
    </row>
    <row r="39" spans="1:10" ht="18">
      <c r="A39" s="124" t="s">
        <v>25</v>
      </c>
      <c r="B39" s="125">
        <v>1170</v>
      </c>
      <c r="C39" s="123">
        <f>C12+C15+C17+C42+C53</f>
        <v>94382678.3</v>
      </c>
      <c r="D39" s="123">
        <f>D12+D15+D17+D42+D53</f>
        <v>92097852.30000001</v>
      </c>
      <c r="E39" s="82">
        <f t="shared" si="1"/>
        <v>-2284825.999999985</v>
      </c>
      <c r="F39" s="126">
        <f t="shared" si="2"/>
        <v>97.57918927375894</v>
      </c>
      <c r="G39" s="123">
        <f>G12+G15+G17+G42+G53</f>
        <v>195558965.61999997</v>
      </c>
      <c r="H39" s="123">
        <f>H12+H15+H17+H42+H53</f>
        <v>193274139.62</v>
      </c>
      <c r="I39" s="82">
        <f t="shared" si="4"/>
        <v>-2284825.99999997</v>
      </c>
      <c r="J39" s="82">
        <f t="shared" si="5"/>
        <v>98.83164344178435</v>
      </c>
    </row>
    <row r="40" spans="1:10" ht="18">
      <c r="A40" s="124" t="s">
        <v>26</v>
      </c>
      <c r="B40" s="125">
        <v>1180</v>
      </c>
      <c r="C40" s="123">
        <f>C28+C29+C30+C31+C32+C33+C34+C35+C36+C37+C38+C45+C58</f>
        <v>94140443.52999999</v>
      </c>
      <c r="D40" s="123">
        <f>D28+D29+D30+D31+D32+D33+D34+D35+D36+D37+D38+D45+D58</f>
        <v>79270584.05999999</v>
      </c>
      <c r="E40" s="82">
        <f t="shared" si="1"/>
        <v>-14869859.469999999</v>
      </c>
      <c r="F40" s="126">
        <f t="shared" si="2"/>
        <v>84.20460015650832</v>
      </c>
      <c r="G40" s="123">
        <f>G28+G29+G30+G31+G32+G33+G34+G35+G36+G37+G38+G45+G58</f>
        <v>170006090.09</v>
      </c>
      <c r="H40" s="123">
        <f>H28+H29+H30+H31+H32+H33+H34+H35+H36+H37+H38+H45+H58</f>
        <v>155136230.62</v>
      </c>
      <c r="I40" s="82">
        <f t="shared" si="4"/>
        <v>-14869859.469999999</v>
      </c>
      <c r="J40" s="82">
        <f t="shared" si="5"/>
        <v>91.25333718213977</v>
      </c>
    </row>
    <row r="41" spans="1:10" ht="18">
      <c r="A41" s="164" t="s">
        <v>34</v>
      </c>
      <c r="B41" s="165"/>
      <c r="C41" s="165"/>
      <c r="D41" s="165"/>
      <c r="E41" s="165"/>
      <c r="F41" s="165"/>
      <c r="G41" s="165"/>
      <c r="H41" s="165"/>
      <c r="I41" s="165"/>
      <c r="J41" s="166"/>
    </row>
    <row r="42" spans="1:10" ht="18">
      <c r="A42" s="127" t="s">
        <v>54</v>
      </c>
      <c r="B42" s="128">
        <v>2010</v>
      </c>
      <c r="C42" s="82">
        <f>C43+C44</f>
        <v>2501000</v>
      </c>
      <c r="D42" s="82">
        <f>D43+D44</f>
        <v>3487204.9</v>
      </c>
      <c r="E42" s="82">
        <f t="shared" si="1"/>
        <v>986204.8999999999</v>
      </c>
      <c r="F42" s="126">
        <f aca="true" t="shared" si="6" ref="F42:F51">(D42/C42)*100</f>
        <v>139.43242303078767</v>
      </c>
      <c r="G42" s="82">
        <f>G43+G44</f>
        <v>6445449</v>
      </c>
      <c r="H42" s="82">
        <f>H43+H44</f>
        <v>7431653.9</v>
      </c>
      <c r="I42" s="82">
        <f aca="true" t="shared" si="7" ref="I42:I51">H42-G42</f>
        <v>986204.9000000004</v>
      </c>
      <c r="J42" s="82">
        <f aca="true" t="shared" si="8" ref="J42:J51">(H42/G42)*100</f>
        <v>115.30079440547898</v>
      </c>
    </row>
    <row r="43" spans="1:10" ht="31.5">
      <c r="A43" s="129" t="s">
        <v>91</v>
      </c>
      <c r="B43" s="130">
        <v>2011</v>
      </c>
      <c r="C43" s="82">
        <v>1210000</v>
      </c>
      <c r="D43" s="82">
        <v>2006168.4</v>
      </c>
      <c r="E43" s="82">
        <f t="shared" si="1"/>
        <v>796168.3999999999</v>
      </c>
      <c r="F43" s="126">
        <f t="shared" si="6"/>
        <v>165.79904132231405</v>
      </c>
      <c r="G43" s="82">
        <f>2502877.81+1210000</f>
        <v>3712877.81</v>
      </c>
      <c r="H43" s="82">
        <f>2502877.81+2006168.4</f>
        <v>4509046.21</v>
      </c>
      <c r="I43" s="82">
        <f t="shared" si="7"/>
        <v>796168.3999999999</v>
      </c>
      <c r="J43" s="82">
        <f t="shared" si="8"/>
        <v>121.44343123427485</v>
      </c>
    </row>
    <row r="44" spans="1:10" ht="18">
      <c r="A44" s="129" t="s">
        <v>55</v>
      </c>
      <c r="B44" s="130">
        <v>2012</v>
      </c>
      <c r="C44" s="82">
        <v>1291000</v>
      </c>
      <c r="D44" s="82">
        <v>1481036.5</v>
      </c>
      <c r="E44" s="82">
        <f t="shared" si="1"/>
        <v>190036.5</v>
      </c>
      <c r="F44" s="126">
        <f t="shared" si="6"/>
        <v>114.72010069713401</v>
      </c>
      <c r="G44" s="82">
        <f>1441571.19+1291000</f>
        <v>2732571.19</v>
      </c>
      <c r="H44" s="82">
        <f>1441571.19+1481036.5</f>
        <v>2922607.69</v>
      </c>
      <c r="I44" s="82">
        <f t="shared" si="7"/>
        <v>190036.5</v>
      </c>
      <c r="J44" s="82">
        <f t="shared" si="8"/>
        <v>106.954494019971</v>
      </c>
    </row>
    <row r="45" spans="1:10" ht="18">
      <c r="A45" s="127" t="s">
        <v>69</v>
      </c>
      <c r="B45" s="131">
        <v>3010</v>
      </c>
      <c r="C45" s="132">
        <f>C46+C47+C48+C49+C50+C51</f>
        <v>6272105</v>
      </c>
      <c r="D45" s="132">
        <f>D46+D47+D48+D49+D50+D51</f>
        <v>3914674.9</v>
      </c>
      <c r="E45" s="82">
        <f t="shared" si="1"/>
        <v>-2357430.1</v>
      </c>
      <c r="F45" s="126">
        <f t="shared" si="6"/>
        <v>62.414052379544025</v>
      </c>
      <c r="G45" s="132">
        <f>G46+G47+G48+G49+G50+G51</f>
        <v>10429210.020000001</v>
      </c>
      <c r="H45" s="132">
        <f>H46+H47+H48+H49+H50+H51</f>
        <v>8071779.919999999</v>
      </c>
      <c r="I45" s="82">
        <f t="shared" si="7"/>
        <v>-2357430.1000000024</v>
      </c>
      <c r="J45" s="82">
        <f t="shared" si="8"/>
        <v>77.39589004843914</v>
      </c>
    </row>
    <row r="46" spans="1:22" ht="18">
      <c r="A46" s="133" t="s">
        <v>35</v>
      </c>
      <c r="B46" s="134">
        <v>3011</v>
      </c>
      <c r="C46" s="135">
        <v>0</v>
      </c>
      <c r="D46" s="78">
        <v>0</v>
      </c>
      <c r="E46" s="82">
        <f t="shared" si="1"/>
        <v>0</v>
      </c>
      <c r="F46" s="126" t="e">
        <f t="shared" si="6"/>
        <v>#DIV/0!</v>
      </c>
      <c r="G46" s="135">
        <v>0</v>
      </c>
      <c r="H46" s="78">
        <v>0</v>
      </c>
      <c r="I46" s="82">
        <f t="shared" si="7"/>
        <v>0</v>
      </c>
      <c r="J46" s="82" t="e">
        <f t="shared" si="8"/>
        <v>#DIV/0!</v>
      </c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1:22" ht="18">
      <c r="A47" s="106" t="s">
        <v>92</v>
      </c>
      <c r="B47" s="14">
        <v>3012</v>
      </c>
      <c r="C47" s="71">
        <v>6175000</v>
      </c>
      <c r="D47" s="100">
        <v>3767897.98</v>
      </c>
      <c r="E47" s="61">
        <f t="shared" si="1"/>
        <v>-2407102.02</v>
      </c>
      <c r="F47" s="56">
        <f t="shared" si="6"/>
        <v>61.01859076923078</v>
      </c>
      <c r="G47" s="71">
        <f>3310597.71+6175000</f>
        <v>9485597.71</v>
      </c>
      <c r="H47" s="71">
        <f>3310597.71+3767897.98</f>
        <v>7078495.6899999995</v>
      </c>
      <c r="I47" s="61">
        <f t="shared" si="7"/>
        <v>-2407102.0200000014</v>
      </c>
      <c r="J47" s="61">
        <f t="shared" si="8"/>
        <v>74.62361262208745</v>
      </c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</row>
    <row r="48" spans="1:22" ht="18">
      <c r="A48" s="106" t="s">
        <v>93</v>
      </c>
      <c r="B48" s="14">
        <v>3013</v>
      </c>
      <c r="C48" s="42">
        <v>97000</v>
      </c>
      <c r="D48" s="79">
        <v>146671.83</v>
      </c>
      <c r="E48" s="61">
        <f t="shared" si="1"/>
        <v>49671.82999999999</v>
      </c>
      <c r="F48" s="56">
        <f t="shared" si="6"/>
        <v>151.20807216494845</v>
      </c>
      <c r="G48" s="42">
        <f>846402.22+97000</f>
        <v>943402.22</v>
      </c>
      <c r="H48" s="71">
        <f>846402.22+146671.83</f>
        <v>993074.0499999999</v>
      </c>
      <c r="I48" s="61">
        <f t="shared" si="7"/>
        <v>49671.82999999996</v>
      </c>
      <c r="J48" s="61">
        <f t="shared" si="8"/>
        <v>105.26518052925506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</row>
    <row r="49" spans="1:22" ht="18">
      <c r="A49" s="106" t="s">
        <v>94</v>
      </c>
      <c r="B49" s="14">
        <v>3014</v>
      </c>
      <c r="C49" s="42">
        <v>105</v>
      </c>
      <c r="D49" s="79">
        <v>105.09</v>
      </c>
      <c r="E49" s="61">
        <f t="shared" si="1"/>
        <v>0.09000000000000341</v>
      </c>
      <c r="F49" s="56">
        <f t="shared" si="6"/>
        <v>100.08571428571429</v>
      </c>
      <c r="G49" s="42">
        <f>105.09+105</f>
        <v>210.09</v>
      </c>
      <c r="H49" s="71">
        <f>105.09+105.09</f>
        <v>210.18</v>
      </c>
      <c r="I49" s="61">
        <f t="shared" si="7"/>
        <v>0.09000000000000341</v>
      </c>
      <c r="J49" s="61">
        <f t="shared" si="8"/>
        <v>100.04283878337856</v>
      </c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</row>
    <row r="50" spans="1:22" ht="31.5">
      <c r="A50" s="106" t="s">
        <v>36</v>
      </c>
      <c r="B50" s="14">
        <v>3015</v>
      </c>
      <c r="C50" s="42">
        <v>0</v>
      </c>
      <c r="D50" s="42">
        <v>0</v>
      </c>
      <c r="E50" s="61">
        <f t="shared" si="1"/>
        <v>0</v>
      </c>
      <c r="F50" s="56" t="e">
        <f t="shared" si="6"/>
        <v>#DIV/0!</v>
      </c>
      <c r="G50" s="71">
        <v>0</v>
      </c>
      <c r="H50" s="70">
        <v>0</v>
      </c>
      <c r="I50" s="61">
        <f t="shared" si="7"/>
        <v>0</v>
      </c>
      <c r="J50" s="61" t="e">
        <f t="shared" si="8"/>
        <v>#DIV/0!</v>
      </c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2" ht="18">
      <c r="A51" s="106" t="s">
        <v>7</v>
      </c>
      <c r="B51" s="14">
        <v>3016</v>
      </c>
      <c r="C51" s="42">
        <v>0</v>
      </c>
      <c r="D51" s="42">
        <v>0</v>
      </c>
      <c r="E51" s="61">
        <f t="shared" si="1"/>
        <v>0</v>
      </c>
      <c r="F51" s="56" t="e">
        <f t="shared" si="6"/>
        <v>#DIV/0!</v>
      </c>
      <c r="G51" s="71">
        <v>0</v>
      </c>
      <c r="H51" s="70">
        <v>0</v>
      </c>
      <c r="I51" s="61">
        <f t="shared" si="7"/>
        <v>0</v>
      </c>
      <c r="J51" s="61" t="e">
        <f t="shared" si="8"/>
        <v>#DIV/0!</v>
      </c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</row>
    <row r="52" spans="1:10" ht="18">
      <c r="A52" s="141" t="s">
        <v>38</v>
      </c>
      <c r="B52" s="142"/>
      <c r="C52" s="142"/>
      <c r="D52" s="142"/>
      <c r="E52" s="142"/>
      <c r="F52" s="142"/>
      <c r="G52" s="142"/>
      <c r="H52" s="142"/>
      <c r="I52" s="142"/>
      <c r="J52" s="144"/>
    </row>
    <row r="53" spans="1:10" ht="18">
      <c r="A53" s="19" t="s">
        <v>39</v>
      </c>
      <c r="B53" s="44">
        <v>4010</v>
      </c>
      <c r="C53" s="72">
        <f>C54+C55+C56+C57</f>
        <v>0</v>
      </c>
      <c r="D53" s="72">
        <f>D54+D55+D56+D57</f>
        <v>0</v>
      </c>
      <c r="E53" s="61">
        <f t="shared" si="1"/>
        <v>0</v>
      </c>
      <c r="F53" s="56" t="e">
        <f aca="true" t="shared" si="9" ref="F53:F62">(D53/C53)*100</f>
        <v>#DIV/0!</v>
      </c>
      <c r="G53" s="72">
        <f>G54+G55+G56+G57</f>
        <v>0</v>
      </c>
      <c r="H53" s="72">
        <f>H54+H55+H56+H57</f>
        <v>0</v>
      </c>
      <c r="I53" s="61">
        <f aca="true" t="shared" si="10" ref="I53:I62">H53-G53</f>
        <v>0</v>
      </c>
      <c r="J53" s="107" t="e">
        <f aca="true" t="shared" si="11" ref="J53:J62">(H53/G53)*100</f>
        <v>#DIV/0!</v>
      </c>
    </row>
    <row r="54" spans="1:10" ht="18">
      <c r="A54" s="12" t="s">
        <v>40</v>
      </c>
      <c r="B54" s="13">
        <v>4011</v>
      </c>
      <c r="C54" s="42"/>
      <c r="D54" s="42"/>
      <c r="E54" s="61">
        <f t="shared" si="1"/>
        <v>0</v>
      </c>
      <c r="F54" s="56" t="e">
        <f t="shared" si="9"/>
        <v>#DIV/0!</v>
      </c>
      <c r="G54" s="71"/>
      <c r="H54" s="70"/>
      <c r="I54" s="61">
        <f t="shared" si="10"/>
        <v>0</v>
      </c>
      <c r="J54" s="107" t="e">
        <f t="shared" si="11"/>
        <v>#DIV/0!</v>
      </c>
    </row>
    <row r="55" spans="1:10" ht="18">
      <c r="A55" s="12" t="s">
        <v>41</v>
      </c>
      <c r="B55" s="14">
        <v>4012</v>
      </c>
      <c r="C55" s="42"/>
      <c r="D55" s="42"/>
      <c r="E55" s="61">
        <f t="shared" si="1"/>
        <v>0</v>
      </c>
      <c r="F55" s="56" t="e">
        <f t="shared" si="9"/>
        <v>#DIV/0!</v>
      </c>
      <c r="G55" s="71"/>
      <c r="H55" s="70"/>
      <c r="I55" s="61">
        <f t="shared" si="10"/>
        <v>0</v>
      </c>
      <c r="J55" s="107" t="e">
        <f t="shared" si="11"/>
        <v>#DIV/0!</v>
      </c>
    </row>
    <row r="56" spans="1:10" ht="18">
      <c r="A56" s="12" t="s">
        <v>42</v>
      </c>
      <c r="B56" s="14">
        <v>4013</v>
      </c>
      <c r="C56" s="42"/>
      <c r="D56" s="42"/>
      <c r="E56" s="61">
        <f t="shared" si="1"/>
        <v>0</v>
      </c>
      <c r="F56" s="56" t="e">
        <f t="shared" si="9"/>
        <v>#DIV/0!</v>
      </c>
      <c r="G56" s="71"/>
      <c r="H56" s="70"/>
      <c r="I56" s="61">
        <f t="shared" si="10"/>
        <v>0</v>
      </c>
      <c r="J56" s="107" t="e">
        <f t="shared" si="11"/>
        <v>#DIV/0!</v>
      </c>
    </row>
    <row r="57" spans="1:10" ht="18">
      <c r="A57" s="12" t="s">
        <v>43</v>
      </c>
      <c r="B57" s="14">
        <v>4020</v>
      </c>
      <c r="C57" s="42"/>
      <c r="D57" s="42"/>
      <c r="E57" s="61">
        <f t="shared" si="1"/>
        <v>0</v>
      </c>
      <c r="F57" s="56" t="e">
        <f t="shared" si="9"/>
        <v>#DIV/0!</v>
      </c>
      <c r="G57" s="71"/>
      <c r="H57" s="70"/>
      <c r="I57" s="61">
        <f t="shared" si="10"/>
        <v>0</v>
      </c>
      <c r="J57" s="107" t="e">
        <f t="shared" si="11"/>
        <v>#DIV/0!</v>
      </c>
    </row>
    <row r="58" spans="1:10" ht="18">
      <c r="A58" s="16" t="s">
        <v>44</v>
      </c>
      <c r="B58" s="17">
        <v>4030</v>
      </c>
      <c r="C58" s="41">
        <f>C59+C60+C61+C62</f>
        <v>0</v>
      </c>
      <c r="D58" s="41">
        <f>D59+D60+D61+D62</f>
        <v>0</v>
      </c>
      <c r="E58" s="61">
        <f t="shared" si="1"/>
        <v>0</v>
      </c>
      <c r="F58" s="56" t="e">
        <f t="shared" si="9"/>
        <v>#DIV/0!</v>
      </c>
      <c r="G58" s="41">
        <f>G59+G60+G61+G62</f>
        <v>0</v>
      </c>
      <c r="H58" s="41">
        <f>H59+H60+H61+H62</f>
        <v>0</v>
      </c>
      <c r="I58" s="61">
        <f t="shared" si="10"/>
        <v>0</v>
      </c>
      <c r="J58" s="107" t="e">
        <f t="shared" si="11"/>
        <v>#DIV/0!</v>
      </c>
    </row>
    <row r="59" spans="1:10" ht="18">
      <c r="A59" s="12" t="s">
        <v>40</v>
      </c>
      <c r="B59" s="14">
        <v>4031</v>
      </c>
      <c r="C59" s="42"/>
      <c r="D59" s="42"/>
      <c r="E59" s="61">
        <f t="shared" si="1"/>
        <v>0</v>
      </c>
      <c r="F59" s="56" t="e">
        <f t="shared" si="9"/>
        <v>#DIV/0!</v>
      </c>
      <c r="G59" s="71"/>
      <c r="H59" s="70"/>
      <c r="I59" s="61">
        <f t="shared" si="10"/>
        <v>0</v>
      </c>
      <c r="J59" s="107" t="e">
        <f t="shared" si="11"/>
        <v>#DIV/0!</v>
      </c>
    </row>
    <row r="60" spans="1:10" ht="18">
      <c r="A60" s="12" t="s">
        <v>41</v>
      </c>
      <c r="B60" s="14">
        <v>4032</v>
      </c>
      <c r="C60" s="42"/>
      <c r="D60" s="42"/>
      <c r="E60" s="61">
        <f t="shared" si="1"/>
        <v>0</v>
      </c>
      <c r="F60" s="56" t="e">
        <f t="shared" si="9"/>
        <v>#DIV/0!</v>
      </c>
      <c r="G60" s="71"/>
      <c r="H60" s="70"/>
      <c r="I60" s="61">
        <f t="shared" si="10"/>
        <v>0</v>
      </c>
      <c r="J60" s="107" t="e">
        <f t="shared" si="11"/>
        <v>#DIV/0!</v>
      </c>
    </row>
    <row r="61" spans="1:10" ht="18">
      <c r="A61" s="12" t="s">
        <v>42</v>
      </c>
      <c r="B61" s="14">
        <v>4033</v>
      </c>
      <c r="C61" s="42"/>
      <c r="D61" s="42"/>
      <c r="E61" s="61">
        <f t="shared" si="1"/>
        <v>0</v>
      </c>
      <c r="F61" s="56" t="e">
        <f t="shared" si="9"/>
        <v>#DIV/0!</v>
      </c>
      <c r="G61" s="71"/>
      <c r="H61" s="70"/>
      <c r="I61" s="61">
        <f t="shared" si="10"/>
        <v>0</v>
      </c>
      <c r="J61" s="107" t="e">
        <f t="shared" si="11"/>
        <v>#DIV/0!</v>
      </c>
    </row>
    <row r="62" spans="1:10" ht="18">
      <c r="A62" s="15" t="s">
        <v>45</v>
      </c>
      <c r="B62" s="14">
        <v>4040</v>
      </c>
      <c r="C62" s="42"/>
      <c r="D62" s="42"/>
      <c r="E62" s="61">
        <f t="shared" si="1"/>
        <v>0</v>
      </c>
      <c r="F62" s="56" t="e">
        <f t="shared" si="9"/>
        <v>#DIV/0!</v>
      </c>
      <c r="G62" s="71"/>
      <c r="H62" s="70"/>
      <c r="I62" s="61">
        <f t="shared" si="10"/>
        <v>0</v>
      </c>
      <c r="J62" s="107" t="e">
        <f t="shared" si="11"/>
        <v>#DIV/0!</v>
      </c>
    </row>
    <row r="63" spans="1:10" ht="18">
      <c r="A63" s="145" t="s">
        <v>56</v>
      </c>
      <c r="B63" s="146"/>
      <c r="C63" s="146"/>
      <c r="D63" s="146"/>
      <c r="E63" s="146"/>
      <c r="F63" s="146"/>
      <c r="G63" s="146"/>
      <c r="H63" s="146"/>
      <c r="I63" s="146"/>
      <c r="J63" s="147"/>
    </row>
    <row r="64" spans="1:10" ht="18">
      <c r="A64" s="51" t="s">
        <v>51</v>
      </c>
      <c r="B64" s="44">
        <v>5010</v>
      </c>
      <c r="C64" s="61">
        <f>C39-C40</f>
        <v>242234.77000001073</v>
      </c>
      <c r="D64" s="61">
        <f>D39-D40</f>
        <v>12827268.240000024</v>
      </c>
      <c r="E64" s="61">
        <f t="shared" si="1"/>
        <v>12585033.470000014</v>
      </c>
      <c r="F64" s="56">
        <f>(D64/C64)*100</f>
        <v>5295.386884384706</v>
      </c>
      <c r="G64" s="61">
        <f>G39-G40</f>
        <v>25552875.52999997</v>
      </c>
      <c r="H64" s="61">
        <f>H39-H40</f>
        <v>38137909</v>
      </c>
      <c r="I64" s="61">
        <f>H64-G64</f>
        <v>12585033.470000029</v>
      </c>
      <c r="J64" s="107">
        <f>(H64/G64)*100</f>
        <v>149.25094811824508</v>
      </c>
    </row>
    <row r="65" spans="1:10" ht="18">
      <c r="A65" s="46" t="s">
        <v>52</v>
      </c>
      <c r="B65" s="11">
        <v>5011</v>
      </c>
      <c r="C65" s="61">
        <f>C64-C66</f>
        <v>242234.77000001073</v>
      </c>
      <c r="D65" s="61">
        <f>D64-D66</f>
        <v>12827268.240000024</v>
      </c>
      <c r="E65" s="61">
        <f t="shared" si="1"/>
        <v>12585033.470000014</v>
      </c>
      <c r="F65" s="56">
        <f>(D65/C65)*100</f>
        <v>5295.386884384706</v>
      </c>
      <c r="G65" s="61">
        <f>G64-G66</f>
        <v>25552875.52999997</v>
      </c>
      <c r="H65" s="61">
        <f>H64-H66</f>
        <v>38137909</v>
      </c>
      <c r="I65" s="61">
        <f>H65-G65</f>
        <v>12585033.470000029</v>
      </c>
      <c r="J65" s="107">
        <f>(H65/G65)*100</f>
        <v>149.25094811824508</v>
      </c>
    </row>
    <row r="66" spans="1:10" ht="18">
      <c r="A66" s="52" t="s">
        <v>53</v>
      </c>
      <c r="B66" s="11">
        <v>5012</v>
      </c>
      <c r="C66" s="61"/>
      <c r="D66" s="61"/>
      <c r="E66" s="61"/>
      <c r="F66" s="56" t="e">
        <f>(D66/C66)*100</f>
        <v>#DIV/0!</v>
      </c>
      <c r="G66" s="61"/>
      <c r="H66" s="73"/>
      <c r="I66" s="73"/>
      <c r="J66" s="107" t="e">
        <f>(H66/G66)*100</f>
        <v>#DIV/0!</v>
      </c>
    </row>
    <row r="67" spans="1:10" ht="18">
      <c r="A67" s="141" t="s">
        <v>57</v>
      </c>
      <c r="B67" s="142"/>
      <c r="C67" s="142"/>
      <c r="D67" s="142"/>
      <c r="E67" s="142"/>
      <c r="F67" s="142"/>
      <c r="G67" s="142"/>
      <c r="H67" s="142"/>
      <c r="I67" s="142"/>
      <c r="J67" s="143"/>
    </row>
    <row r="68" spans="1:10" ht="18">
      <c r="A68" s="43" t="s">
        <v>33</v>
      </c>
      <c r="B68" s="44">
        <v>6010</v>
      </c>
      <c r="C68" s="61">
        <f>C69+C70+C71+C72+C73+C74</f>
        <v>22011542.54</v>
      </c>
      <c r="D68" s="61">
        <f>D69+D70+D71+D72+D73+D74</f>
        <v>17986944.329549998</v>
      </c>
      <c r="E68" s="61">
        <f aca="true" t="shared" si="12" ref="E68:E74">D68-C68</f>
        <v>-4024598.210450001</v>
      </c>
      <c r="F68" s="56">
        <f aca="true" t="shared" si="13" ref="F68:F74">(D68/C68)*100</f>
        <v>81.7159646892698</v>
      </c>
      <c r="G68" s="61">
        <f>G69+G70+G71+G72+G73+G74</f>
        <v>39513993.437</v>
      </c>
      <c r="H68" s="61">
        <f>H69+H70+H71+H72+H73+H74</f>
        <v>35489395.626550004</v>
      </c>
      <c r="I68" s="61">
        <f aca="true" t="shared" si="14" ref="I68:I74">H68-G68</f>
        <v>-4024597.810449995</v>
      </c>
      <c r="J68" s="61">
        <f aca="true" t="shared" si="15" ref="J68:J74">(H68/G68)*100</f>
        <v>89.81475305231626</v>
      </c>
    </row>
    <row r="69" spans="1:10" ht="18">
      <c r="A69" s="29" t="s">
        <v>27</v>
      </c>
      <c r="B69" s="13">
        <v>6011</v>
      </c>
      <c r="C69" s="55">
        <v>0</v>
      </c>
      <c r="D69" s="55">
        <v>0</v>
      </c>
      <c r="E69" s="61">
        <f t="shared" si="12"/>
        <v>0</v>
      </c>
      <c r="F69" s="56" t="e">
        <f t="shared" si="13"/>
        <v>#DIV/0!</v>
      </c>
      <c r="G69" s="55">
        <v>0</v>
      </c>
      <c r="H69" s="55">
        <v>0</v>
      </c>
      <c r="I69" s="61">
        <f t="shared" si="14"/>
        <v>0</v>
      </c>
      <c r="J69" s="61" t="e">
        <f t="shared" si="15"/>
        <v>#DIV/0!</v>
      </c>
    </row>
    <row r="70" spans="1:10" ht="18">
      <c r="A70" s="18" t="s">
        <v>28</v>
      </c>
      <c r="B70" s="13">
        <v>6012</v>
      </c>
      <c r="C70" s="78">
        <f>C28*1.5%</f>
        <v>792247.62</v>
      </c>
      <c r="D70" s="78">
        <f>D28*1.5%</f>
        <v>653119.58535</v>
      </c>
      <c r="E70" s="82">
        <f t="shared" si="12"/>
        <v>-139128.03465000005</v>
      </c>
      <c r="F70" s="126">
        <f t="shared" si="13"/>
        <v>82.43881948802824</v>
      </c>
      <c r="G70" s="78">
        <f>G28*1.5%</f>
        <v>1428675.639</v>
      </c>
      <c r="H70" s="78">
        <f>H28*1.5%</f>
        <v>1289547.60435</v>
      </c>
      <c r="I70" s="61">
        <f t="shared" si="14"/>
        <v>-139128.03465000005</v>
      </c>
      <c r="J70" s="61">
        <f t="shared" si="15"/>
        <v>90.2617479536935</v>
      </c>
    </row>
    <row r="71" spans="1:10" ht="18">
      <c r="A71" s="18" t="s">
        <v>29</v>
      </c>
      <c r="B71" s="13">
        <v>6013</v>
      </c>
      <c r="C71" s="78">
        <v>92691.72</v>
      </c>
      <c r="D71" s="78">
        <v>91191.14</v>
      </c>
      <c r="E71" s="82">
        <f t="shared" si="12"/>
        <v>-1500.5800000000017</v>
      </c>
      <c r="F71" s="126">
        <f t="shared" si="13"/>
        <v>98.38110674826187</v>
      </c>
      <c r="G71" s="78">
        <f>105488+92691.72</f>
        <v>198179.72</v>
      </c>
      <c r="H71" s="78">
        <f>105488.4+91191.14</f>
        <v>196679.53999999998</v>
      </c>
      <c r="I71" s="61">
        <f t="shared" si="14"/>
        <v>-1500.1800000000221</v>
      </c>
      <c r="J71" s="61">
        <f t="shared" si="15"/>
        <v>99.24302042610616</v>
      </c>
    </row>
    <row r="72" spans="1:10" ht="18">
      <c r="A72" s="18" t="s">
        <v>30</v>
      </c>
      <c r="B72" s="13">
        <v>6014</v>
      </c>
      <c r="C72" s="78">
        <f>C28*18%</f>
        <v>9506971.44</v>
      </c>
      <c r="D72" s="78">
        <f>D28*18%</f>
        <v>7837435.024199999</v>
      </c>
      <c r="E72" s="82">
        <f t="shared" si="12"/>
        <v>-1669536.4158000005</v>
      </c>
      <c r="F72" s="126">
        <f t="shared" si="13"/>
        <v>82.43881948802824</v>
      </c>
      <c r="G72" s="78">
        <f>G28*18%</f>
        <v>17144107.667999998</v>
      </c>
      <c r="H72" s="78">
        <f>H28*18%</f>
        <v>15474571.252199998</v>
      </c>
      <c r="I72" s="61">
        <f t="shared" si="14"/>
        <v>-1669536.4157999996</v>
      </c>
      <c r="J72" s="61">
        <f t="shared" si="15"/>
        <v>90.2617479536935</v>
      </c>
    </row>
    <row r="73" spans="1:10" ht="31.5">
      <c r="A73" s="53" t="s">
        <v>31</v>
      </c>
      <c r="B73" s="13">
        <v>6015</v>
      </c>
      <c r="C73" s="122">
        <f>C29</f>
        <v>11619631.76</v>
      </c>
      <c r="D73" s="122">
        <f>D29</f>
        <v>9405198.58</v>
      </c>
      <c r="E73" s="82">
        <f t="shared" si="12"/>
        <v>-2214433.1799999997</v>
      </c>
      <c r="F73" s="126">
        <f t="shared" si="13"/>
        <v>80.94231189302337</v>
      </c>
      <c r="G73" s="122">
        <f>G29</f>
        <v>20743030.41</v>
      </c>
      <c r="H73" s="122">
        <f>H29</f>
        <v>18528597.23</v>
      </c>
      <c r="I73" s="61">
        <f t="shared" si="14"/>
        <v>-2214433.1799999997</v>
      </c>
      <c r="J73" s="61">
        <f t="shared" si="15"/>
        <v>89.32444712161033</v>
      </c>
    </row>
    <row r="74" spans="1:10" ht="18">
      <c r="A74" s="20" t="s">
        <v>32</v>
      </c>
      <c r="B74" s="13">
        <v>6016</v>
      </c>
      <c r="C74" s="69"/>
      <c r="D74" s="69"/>
      <c r="E74" s="61">
        <f t="shared" si="12"/>
        <v>0</v>
      </c>
      <c r="F74" s="56" t="e">
        <f t="shared" si="13"/>
        <v>#DIV/0!</v>
      </c>
      <c r="G74" s="69"/>
      <c r="H74" s="70"/>
      <c r="I74" s="61">
        <f t="shared" si="14"/>
        <v>0</v>
      </c>
      <c r="J74" s="61" t="e">
        <f t="shared" si="15"/>
        <v>#DIV/0!</v>
      </c>
    </row>
    <row r="75" spans="1:10" ht="18">
      <c r="A75" s="149" t="s">
        <v>58</v>
      </c>
      <c r="B75" s="150"/>
      <c r="C75" s="150"/>
      <c r="D75" s="150"/>
      <c r="E75" s="150"/>
      <c r="F75" s="150"/>
      <c r="G75" s="150"/>
      <c r="H75" s="150"/>
      <c r="I75" s="150"/>
      <c r="J75" s="151"/>
    </row>
    <row r="76" spans="1:10" ht="18">
      <c r="A76" s="31" t="s">
        <v>47</v>
      </c>
      <c r="B76" s="13">
        <v>7010</v>
      </c>
      <c r="C76" s="40"/>
      <c r="D76" s="40"/>
      <c r="E76" s="40"/>
      <c r="F76" s="40"/>
      <c r="G76" s="40">
        <v>1332</v>
      </c>
      <c r="H76" s="40">
        <v>1332</v>
      </c>
      <c r="I76" s="40"/>
      <c r="J76" s="22"/>
    </row>
    <row r="77" spans="1:10" ht="18">
      <c r="A77" s="31"/>
      <c r="B77" s="13"/>
      <c r="C77" s="40"/>
      <c r="D77" s="40"/>
      <c r="E77" s="40"/>
      <c r="F77" s="40"/>
      <c r="G77" s="108" t="s">
        <v>59</v>
      </c>
      <c r="H77" s="108" t="s">
        <v>61</v>
      </c>
      <c r="I77" s="108" t="s">
        <v>62</v>
      </c>
      <c r="J77" s="76" t="s">
        <v>60</v>
      </c>
    </row>
    <row r="78" spans="1:10" ht="18">
      <c r="A78" s="31" t="s">
        <v>37</v>
      </c>
      <c r="B78" s="14">
        <v>7011</v>
      </c>
      <c r="C78" s="42"/>
      <c r="D78" s="42"/>
      <c r="E78" s="42"/>
      <c r="F78" s="42"/>
      <c r="G78" s="136">
        <v>540299300</v>
      </c>
      <c r="H78" s="135">
        <v>549492000</v>
      </c>
      <c r="I78" s="42"/>
      <c r="J78" s="109"/>
    </row>
    <row r="79" spans="1:10" ht="18">
      <c r="A79" s="31" t="s">
        <v>72</v>
      </c>
      <c r="B79" s="14">
        <v>7012</v>
      </c>
      <c r="C79" s="42"/>
      <c r="D79" s="42"/>
      <c r="E79" s="42"/>
      <c r="F79" s="42"/>
      <c r="G79" s="71"/>
      <c r="H79" s="70"/>
      <c r="I79" s="70"/>
      <c r="J79" s="9"/>
    </row>
    <row r="80" spans="1:10" ht="18">
      <c r="A80" s="31" t="s">
        <v>73</v>
      </c>
      <c r="B80" s="14">
        <v>7013</v>
      </c>
      <c r="C80" s="42"/>
      <c r="D80" s="42"/>
      <c r="E80" s="42"/>
      <c r="F80" s="42"/>
      <c r="G80" s="71"/>
      <c r="H80" s="70"/>
      <c r="I80" s="70"/>
      <c r="J80" s="9"/>
    </row>
    <row r="81" spans="1:10" ht="18">
      <c r="A81" s="31" t="s">
        <v>74</v>
      </c>
      <c r="B81" s="77">
        <v>7016</v>
      </c>
      <c r="C81" s="110"/>
      <c r="D81" s="110"/>
      <c r="E81" s="110"/>
      <c r="F81" s="110"/>
      <c r="G81" s="64"/>
      <c r="H81" s="65"/>
      <c r="I81" s="65"/>
      <c r="J81" s="111"/>
    </row>
    <row r="82" spans="1:10" ht="18">
      <c r="A82" s="31" t="s">
        <v>75</v>
      </c>
      <c r="B82" s="11">
        <v>7020</v>
      </c>
      <c r="C82" s="61"/>
      <c r="D82" s="61"/>
      <c r="E82" s="61"/>
      <c r="F82" s="61"/>
      <c r="G82" s="61"/>
      <c r="H82" s="73"/>
      <c r="I82" s="73"/>
      <c r="J82" s="112"/>
    </row>
    <row r="83" spans="1:10" ht="18">
      <c r="A83" s="32"/>
      <c r="B83" s="30"/>
      <c r="C83" s="113"/>
      <c r="D83" s="113"/>
      <c r="E83" s="113"/>
      <c r="F83" s="113"/>
      <c r="G83" s="113"/>
      <c r="H83" s="114"/>
      <c r="I83" s="114"/>
      <c r="J83" s="33"/>
    </row>
    <row r="84" spans="1:10" ht="18">
      <c r="A84" s="23" t="s">
        <v>95</v>
      </c>
      <c r="B84" s="24"/>
      <c r="C84" s="37"/>
      <c r="D84" s="25"/>
      <c r="E84" s="152" t="s">
        <v>96</v>
      </c>
      <c r="F84" s="152"/>
      <c r="G84" s="26"/>
      <c r="H84" s="115"/>
      <c r="I84" s="115"/>
      <c r="J84" s="27"/>
    </row>
    <row r="85" spans="1:7" ht="18">
      <c r="A85" s="28"/>
      <c r="B85" s="39"/>
      <c r="C85" s="36" t="s">
        <v>8</v>
      </c>
      <c r="D85" s="140" t="s">
        <v>9</v>
      </c>
      <c r="E85" s="140"/>
      <c r="F85" s="140"/>
      <c r="G85" s="2"/>
    </row>
    <row r="86" spans="1:7" ht="18">
      <c r="A86" s="28" t="s">
        <v>76</v>
      </c>
      <c r="B86" s="39"/>
      <c r="C86" s="38"/>
      <c r="D86" s="39"/>
      <c r="E86" s="148" t="s">
        <v>77</v>
      </c>
      <c r="F86" s="148"/>
      <c r="G86" s="2"/>
    </row>
    <row r="87" spans="1:7" ht="18">
      <c r="A87" s="28"/>
      <c r="B87" s="39"/>
      <c r="C87" s="36" t="s">
        <v>8</v>
      </c>
      <c r="D87" s="140" t="s">
        <v>9</v>
      </c>
      <c r="E87" s="140"/>
      <c r="F87" s="140"/>
      <c r="G87" s="2"/>
    </row>
    <row r="88" spans="1:7" ht="18">
      <c r="A88"/>
      <c r="B88"/>
      <c r="C88" s="60"/>
      <c r="D88" s="60"/>
      <c r="E88" s="60"/>
      <c r="F88" s="60"/>
      <c r="G88" s="60"/>
    </row>
    <row r="89" spans="1:7" ht="18">
      <c r="A89"/>
      <c r="B89"/>
      <c r="C89" s="60"/>
      <c r="D89" s="60"/>
      <c r="E89" s="60"/>
      <c r="F89" s="60"/>
      <c r="G89" s="60"/>
    </row>
    <row r="90" spans="1:7" ht="18">
      <c r="A90"/>
      <c r="B90"/>
      <c r="C90" s="60"/>
      <c r="D90" s="60"/>
      <c r="E90" s="60"/>
      <c r="F90" s="60"/>
      <c r="G90" s="60"/>
    </row>
  </sheetData>
  <sheetProtection/>
  <mergeCells count="21">
    <mergeCell ref="A67:J67"/>
    <mergeCell ref="A75:J75"/>
    <mergeCell ref="E84:F84"/>
    <mergeCell ref="D85:F85"/>
    <mergeCell ref="E86:F86"/>
    <mergeCell ref="D87:F87"/>
    <mergeCell ref="A11:J11"/>
    <mergeCell ref="A27:J27"/>
    <mergeCell ref="A41:J41"/>
    <mergeCell ref="K46:V51"/>
    <mergeCell ref="A52:J52"/>
    <mergeCell ref="A63:J63"/>
    <mergeCell ref="E2:J2"/>
    <mergeCell ref="A4:J4"/>
    <mergeCell ref="A5:J5"/>
    <mergeCell ref="A6:J6"/>
    <mergeCell ref="A7:J7"/>
    <mergeCell ref="A8:A9"/>
    <mergeCell ref="B8:B9"/>
    <mergeCell ref="C8:F8"/>
    <mergeCell ref="G8:J8"/>
  </mergeCells>
  <printOptions/>
  <pageMargins left="0.5118110236220472" right="0.5118110236220472" top="0.5511811023622047" bottom="0.5511811023622047" header="0.31496062992125984" footer="0.31496062992125984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2022-12-26T08:56:35Z</cp:lastPrinted>
  <dcterms:created xsi:type="dcterms:W3CDTF">2015-06-05T18:19:34Z</dcterms:created>
  <dcterms:modified xsi:type="dcterms:W3CDTF">2023-08-25T13:01:02Z</dcterms:modified>
  <cp:category/>
  <cp:version/>
  <cp:contentType/>
  <cp:contentStatus/>
</cp:coreProperties>
</file>