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 refMode="R1C1"/>
</workbook>
</file>

<file path=xl/sharedStrings.xml><?xml version="1.0" encoding="utf-8"?>
<sst xmlns="http://schemas.openxmlformats.org/spreadsheetml/2006/main" count="111" uniqueCount="102">
  <si>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</si>
  <si>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</si>
  <si>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</si>
  <si>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</si>
  <si>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</si>
  <si>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</si>
  <si>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</si>
  <si>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</si>
  <si>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</si>
  <si>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</si>
  <si>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</si>
  <si>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</si>
  <si>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</si>
  <si>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</si>
  <si>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</si>
  <si>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</si>
  <si>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</si>
  <si>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</si>
  <si>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</si>
  <si>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</si>
  <si>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</si>
  <si>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</si>
  <si>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</si>
  <si>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</si>
  <si>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</si>
  <si>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</si>
  <si>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</si>
  <si>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</si>
  <si>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</si>
  <si>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</si>
  <si>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</si>
  <si>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</si>
  <si>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</si>
  <si>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</si>
  <si>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</si>
  <si>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</si>
  <si>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</si>
  <si>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</si>
  <si>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</si>
  <si>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</si>
  <si>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</si>
  <si>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</si>
  <si>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</si>
  <si>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</si>
  <si>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</si>
  <si>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</si>
  <si>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</si>
  <si>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</si>
  <si>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</si>
  <si>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</si>
  <si>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</si>
  <si>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</si>
  <si>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</si>
  <si>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</si>
  <si>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</si>
  <si>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</si>
  <si>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</si>
  <si>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</si>
  <si>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</si>
  <si>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</si>
  <si>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</si>
  <si>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</si>
  <si>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</si>
  <si>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</si>
  <si>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</si>
  <si>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</si>
  <si>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</si>
  <si>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</si>
  <si>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</si>
  <si>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</si>
  <si>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</si>
  <si>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</si>
  <si>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</si>
  <si>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</si>
  <si>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</si>
  <si>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</si>
  <si>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</si>
  <si>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</si>
  <si>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</si>
  <si>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</si>
  <si>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</si>
  <si>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</si>
  <si>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</si>
  <si>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Інші надходження (дохід)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</si>
  <si>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</si>
  <si>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</si>
  <si>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</si>
  <si>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</si>
  <si>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</si>
  <si>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</si>
  <si>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основні засоби</t>
  </si>
  <si>
    <t>інші необоротни матеріальни активи</t>
  </si>
  <si>
    <t>нематеріальні активи</t>
  </si>
  <si>
    <t>на період</t>
  </si>
  <si>
    <t>Генеральний директор</t>
  </si>
  <si>
    <t>Заступник генерального директора</t>
  </si>
  <si>
    <t>Інші надходження (дохід) (інтерни на контрактній формі навчання, клінічні випробування)</t>
  </si>
  <si>
    <t>за IІI квартал 2022р. (квартал, рік)</t>
  </si>
  <si>
    <t>Звітний період  IІI  квартал 2022р.року</t>
  </si>
  <si>
    <t xml:space="preserve"> Комунального некомерційного підприємства "Міська клінічна лікарня №6" Дніпровької міської ради</t>
  </si>
  <si>
    <t>Валерій ЧОРНИЙ</t>
  </si>
  <si>
    <t>Лариса БОРИСОВА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</si>
</sst>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.000"/>
    <numFmt numFmtId="183" formatCode="0.000"/>
    <numFmt numFmtId="184" formatCode="#,##0.0"/>
  </numFmts>
  <fonts count="33"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49" applyFont="1">
      <alignment/>
      <protection/>
    </xf>
    <xf numFmtId="0" fontId="10" fillId="0" borderId="0" xfId="49" applyFont="1" applyAlignment="1">
      <alignment horizontal="center"/>
      <protection/>
    </xf>
    <xf numFmtId="0" fontId="12" fillId="0" borderId="0" xfId="49" applyFont="1">
      <alignment/>
      <protection/>
    </xf>
    <xf numFmtId="0" fontId="12" fillId="4" borderId="0" xfId="49" applyFont="1" applyFill="1">
      <alignment/>
      <protection/>
    </xf>
    <xf numFmtId="0" fontId="10" fillId="0" borderId="0" xfId="49" applyFont="1">
      <alignment/>
      <protection/>
    </xf>
    <xf numFmtId="0" fontId="7" fillId="18" borderId="0" xfId="49" applyFont="1" applyFill="1" applyBorder="1">
      <alignment/>
      <protection/>
    </xf>
    <xf numFmtId="0" fontId="7" fillId="18" borderId="0" xfId="49" applyFont="1" applyFill="1" applyBorder="1" applyAlignment="1">
      <alignment horizontal="center"/>
      <protection/>
    </xf>
    <xf numFmtId="0" fontId="6" fillId="18" borderId="10" xfId="49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182" fontId="5" fillId="0" borderId="0" xfId="49" applyNumberFormat="1" applyFont="1" applyFill="1" applyBorder="1" applyAlignment="1">
      <alignment horizontal="center"/>
      <protection/>
    </xf>
    <xf numFmtId="0" fontId="10" fillId="0" borderId="0" xfId="49" applyFont="1" applyFill="1" applyAlignment="1">
      <alignment horizontal="center"/>
      <protection/>
    </xf>
    <xf numFmtId="0" fontId="5" fillId="18" borderId="0" xfId="49" applyFont="1" applyFill="1" applyBorder="1">
      <alignment/>
      <protection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182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/>
    </xf>
    <xf numFmtId="0" fontId="2" fillId="0" borderId="0" xfId="49" applyFont="1" applyAlignment="1" applyProtection="1">
      <alignment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4" fillId="18" borderId="0" xfId="49" applyFont="1" applyFill="1" applyBorder="1" applyAlignment="1">
      <alignment horizontal="center"/>
      <protection/>
    </xf>
    <xf numFmtId="0" fontId="5" fillId="18" borderId="0" xfId="49" applyFont="1" applyFill="1" applyBorder="1" applyAlignment="1">
      <alignment horizontal="center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18" borderId="11" xfId="4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5" fillId="0" borderId="16" xfId="49" applyFont="1" applyFill="1" applyBorder="1" applyAlignment="1">
      <alignment horizontal="center"/>
      <protection/>
    </xf>
    <xf numFmtId="0" fontId="5" fillId="18" borderId="16" xfId="49" applyFont="1" applyFill="1" applyBorder="1" applyAlignment="1">
      <alignment horizontal="center"/>
      <protection/>
    </xf>
    <xf numFmtId="184" fontId="3" fillId="0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13" fillId="4" borderId="0" xfId="49" applyFont="1" applyFill="1">
      <alignment/>
      <protection/>
    </xf>
    <xf numFmtId="0" fontId="12" fillId="0" borderId="0" xfId="0" applyFont="1" applyAlignment="1" applyProtection="1">
      <alignment/>
      <protection locked="0"/>
    </xf>
    <xf numFmtId="0" fontId="15" fillId="4" borderId="0" xfId="49" applyFont="1" applyFill="1">
      <alignment/>
      <protection/>
    </xf>
    <xf numFmtId="4" fontId="5" fillId="0" borderId="0" xfId="49" applyNumberFormat="1" applyFont="1" applyAlignment="1">
      <alignment horizontal="center"/>
      <protection/>
    </xf>
    <xf numFmtId="4" fontId="10" fillId="0" borderId="0" xfId="49" applyNumberFormat="1" applyFont="1" applyAlignment="1">
      <alignment horizontal="center"/>
      <protection/>
    </xf>
    <xf numFmtId="4" fontId="3" fillId="0" borderId="0" xfId="49" applyNumberFormat="1" applyFont="1" applyAlignment="1" applyProtection="1">
      <alignment horizontal="center" vertical="center" wrapText="1"/>
      <protection locked="0"/>
    </xf>
    <xf numFmtId="4" fontId="4" fillId="0" borderId="0" xfId="49" applyNumberFormat="1" applyFont="1" applyAlignment="1" applyProtection="1">
      <alignment horizontal="center" vertical="center" wrapText="1"/>
      <protection locked="0"/>
    </xf>
    <xf numFmtId="4" fontId="11" fillId="0" borderId="0" xfId="49" applyNumberFormat="1" applyFont="1" applyAlignment="1" applyProtection="1">
      <alignment horizontal="center" vertical="center"/>
      <protection locked="0"/>
    </xf>
    <xf numFmtId="4" fontId="2" fillId="0" borderId="0" xfId="49" applyNumberFormat="1" applyFont="1" applyAlignment="1" applyProtection="1">
      <alignment horizontal="left" vertical="center" wrapText="1"/>
      <protection locked="0"/>
    </xf>
    <xf numFmtId="4" fontId="7" fillId="18" borderId="0" xfId="49" applyNumberFormat="1" applyFont="1" applyFill="1" applyBorder="1" applyAlignment="1">
      <alignment horizontal="center"/>
      <protection/>
    </xf>
    <xf numFmtId="4" fontId="6" fillId="18" borderId="0" xfId="49" applyNumberFormat="1" applyFont="1" applyFill="1" applyBorder="1" applyAlignment="1">
      <alignment horizontal="center"/>
      <protection/>
    </xf>
    <xf numFmtId="4" fontId="8" fillId="18" borderId="13" xfId="49" applyNumberFormat="1" applyFont="1" applyFill="1" applyBorder="1" applyAlignment="1">
      <alignment horizontal="center" vertical="center" wrapText="1"/>
      <protection/>
    </xf>
    <xf numFmtId="4" fontId="8" fillId="18" borderId="10" xfId="49" applyNumberFormat="1" applyFont="1" applyFill="1" applyBorder="1" applyAlignment="1">
      <alignment horizontal="center" vertical="center" wrapText="1"/>
      <protection/>
    </xf>
    <xf numFmtId="4" fontId="8" fillId="18" borderId="19" xfId="49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4" fontId="10" fillId="0" borderId="0" xfId="49" applyNumberFormat="1" applyFont="1" applyFill="1" applyAlignment="1">
      <alignment horizontal="center"/>
      <protection/>
    </xf>
    <xf numFmtId="1" fontId="6" fillId="18" borderId="10" xfId="49" applyNumberFormat="1" applyFont="1" applyFill="1" applyBorder="1" applyAlignment="1">
      <alignment horizontal="center" vertical="center" wrapText="1"/>
      <protection/>
    </xf>
    <xf numFmtId="1" fontId="6" fillId="18" borderId="13" xfId="49" applyNumberFormat="1" applyFont="1" applyFill="1" applyBorder="1" applyAlignment="1">
      <alignment horizontal="center" vertical="center" wrapText="1"/>
      <protection/>
    </xf>
    <xf numFmtId="1" fontId="6" fillId="18" borderId="11" xfId="49" applyNumberFormat="1" applyFont="1" applyFill="1" applyBorder="1" applyAlignment="1">
      <alignment horizontal="center" vertical="center" wrapText="1"/>
      <protection/>
    </xf>
    <xf numFmtId="1" fontId="6" fillId="0" borderId="11" xfId="49" applyNumberFormat="1" applyFont="1" applyBorder="1" applyAlignment="1">
      <alignment horizontal="center"/>
      <protection/>
    </xf>
    <xf numFmtId="4" fontId="3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3" xfId="0" applyFont="1" applyFill="1" applyBorder="1" applyAlignment="1" applyProtection="1">
      <alignment horizontal="justify" vertical="center" wrapText="1"/>
      <protection locked="0"/>
    </xf>
    <xf numFmtId="0" fontId="3" fillId="18" borderId="22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/>
      <protection/>
    </xf>
    <xf numFmtId="0" fontId="5" fillId="18" borderId="16" xfId="49" applyFont="1" applyFill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182" fontId="10" fillId="0" borderId="0" xfId="49" applyNumberFormat="1" applyFont="1" applyFill="1" applyBorder="1" applyAlignment="1">
      <alignment horizontal="center"/>
      <protection/>
    </xf>
    <xf numFmtId="182" fontId="10" fillId="0" borderId="0" xfId="49" applyNumberFormat="1" applyFont="1" applyFill="1" applyAlignment="1">
      <alignment horizontal="center"/>
      <protection/>
    </xf>
    <xf numFmtId="0" fontId="3" fillId="18" borderId="23" xfId="49" applyFont="1" applyFill="1" applyBorder="1" applyAlignment="1">
      <alignment horizontal="center" vertical="center" wrapText="1"/>
      <protection/>
    </xf>
    <xf numFmtId="0" fontId="3" fillId="18" borderId="0" xfId="49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6" xfId="49" applyFont="1" applyFill="1" applyBorder="1" applyAlignment="1">
      <alignment horizontal="center"/>
      <protection/>
    </xf>
    <xf numFmtId="0" fontId="8" fillId="18" borderId="11" xfId="49" applyFont="1" applyFill="1" applyBorder="1" applyAlignment="1">
      <alignment horizontal="center" vertical="center" wrapText="1"/>
      <protection/>
    </xf>
    <xf numFmtId="0" fontId="2" fillId="0" borderId="0" xfId="49" applyFont="1" applyAlignment="1" applyProtection="1">
      <alignment horizontal="left" vertical="center" wrapText="1"/>
      <protection locked="0"/>
    </xf>
    <xf numFmtId="0" fontId="9" fillId="0" borderId="0" xfId="49" applyFont="1" applyAlignment="1" applyProtection="1">
      <alignment horizontal="center" vertical="center" wrapText="1"/>
      <protection locked="0"/>
    </xf>
    <xf numFmtId="0" fontId="9" fillId="0" borderId="26" xfId="49" applyFont="1" applyBorder="1" applyAlignment="1" applyProtection="1">
      <alignment horizontal="center" vertical="center" wrapText="1"/>
      <protection locked="0"/>
    </xf>
    <xf numFmtId="0" fontId="4" fillId="18" borderId="0" xfId="49" applyFont="1" applyFill="1" applyBorder="1" applyAlignment="1">
      <alignment horizontal="center"/>
      <protection/>
    </xf>
    <xf numFmtId="0" fontId="5" fillId="18" borderId="0" xfId="49" applyFont="1" applyFill="1" applyBorder="1" applyAlignment="1">
      <alignment horizontal="center"/>
      <protection/>
    </xf>
    <xf numFmtId="0" fontId="8" fillId="18" borderId="10" xfId="4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2" fillId="4" borderId="30" xfId="49" applyFont="1" applyFill="1" applyBorder="1" applyAlignment="1">
      <alignment horizontal="left" vertical="center" wrapText="1"/>
      <protection/>
    </xf>
    <xf numFmtId="0" fontId="12" fillId="4" borderId="0" xfId="49" applyFont="1" applyFill="1" applyAlignment="1">
      <alignment horizontal="left" vertical="center" wrapText="1"/>
      <protection/>
    </xf>
    <xf numFmtId="4" fontId="8" fillId="18" borderId="13" xfId="49" applyNumberFormat="1" applyFont="1" applyFill="1" applyBorder="1" applyAlignment="1">
      <alignment horizontal="center" vertical="center" wrapText="1"/>
      <protection/>
    </xf>
    <xf numFmtId="4" fontId="8" fillId="18" borderId="31" xfId="49" applyNumberFormat="1" applyFont="1" applyFill="1" applyBorder="1" applyAlignment="1">
      <alignment horizontal="center" vertical="center" wrapText="1"/>
      <protection/>
    </xf>
    <xf numFmtId="4" fontId="8" fillId="18" borderId="32" xfId="49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view="pageBreakPreview" zoomScaleNormal="89" zoomScaleSheetLayoutView="100" zoomScalePageLayoutView="0" workbookViewId="0" topLeftCell="A1">
      <selection activeCell="J80" sqref="J80"/>
    </sheetView>
  </sheetViews>
  <sheetFormatPr defaultColWidth="9.140625" defaultRowHeight="15"/>
  <cols>
    <col min="1" max="1" width="72.57421875" style="5" customWidth="1"/>
    <col min="2" max="2" width="7.140625" style="5" customWidth="1"/>
    <col min="3" max="4" width="15.28125" style="78" customWidth="1"/>
    <col min="5" max="5" width="18.421875" style="78" customWidth="1"/>
    <col min="6" max="6" width="13.8515625" style="78" customWidth="1"/>
    <col min="7" max="7" width="17.57421875" style="78" customWidth="1"/>
    <col min="8" max="8" width="17.00390625" style="78" customWidth="1"/>
    <col min="9" max="9" width="16.140625" style="78" customWidth="1"/>
    <col min="10" max="10" width="16.28125" style="2" customWidth="1"/>
    <col min="11" max="11" width="12.7109375" style="4" customWidth="1"/>
    <col min="12" max="12" width="14.00390625" style="4" customWidth="1"/>
    <col min="13" max="18" width="9.140625" style="4" customWidth="1"/>
    <col min="19" max="16384" width="9.140625" style="3" customWidth="1"/>
  </cols>
  <sheetData>
    <row r="1" spans="1:8" ht="13.5" customHeight="1">
      <c r="A1" s="1"/>
      <c r="B1" s="1"/>
      <c r="C1" s="77"/>
      <c r="E1" s="79" t="s">
        <v>50</v>
      </c>
      <c r="F1" s="80"/>
      <c r="G1" s="80"/>
      <c r="H1" s="81"/>
    </row>
    <row r="2" spans="1:10" ht="20.25" customHeight="1">
      <c r="A2" s="1"/>
      <c r="B2" s="1"/>
      <c r="C2" s="77"/>
      <c r="E2" s="141" t="s">
        <v>1</v>
      </c>
      <c r="F2" s="141"/>
      <c r="G2" s="141"/>
      <c r="H2" s="141"/>
      <c r="I2" s="141"/>
      <c r="J2" s="141"/>
    </row>
    <row r="3" spans="1:10" s="4" customFormat="1" ht="16.5" customHeight="1">
      <c r="A3" s="38"/>
      <c r="B3" s="1"/>
      <c r="C3" s="77"/>
      <c r="D3" s="78"/>
      <c r="E3" s="82"/>
      <c r="F3" s="82"/>
      <c r="G3" s="82"/>
      <c r="H3" s="82"/>
      <c r="I3" s="82"/>
      <c r="J3" s="39"/>
    </row>
    <row r="4" spans="1:11" s="4" customFormat="1" ht="16.5" customHeight="1">
      <c r="A4" s="142" t="s">
        <v>51</v>
      </c>
      <c r="B4" s="142"/>
      <c r="C4" s="142"/>
      <c r="D4" s="142"/>
      <c r="E4" s="142"/>
      <c r="F4" s="142"/>
      <c r="G4" s="142"/>
      <c r="H4" s="142"/>
      <c r="I4" s="142"/>
      <c r="J4" s="142"/>
      <c r="K4" s="76"/>
    </row>
    <row r="5" spans="1:10" s="4" customFormat="1" ht="36" customHeight="1">
      <c r="A5" s="143" t="s">
        <v>99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s="4" customFormat="1" ht="12.75" customHeight="1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s="4" customFormat="1" ht="20.25" customHeight="1">
      <c r="A7" s="145" t="s">
        <v>97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s="4" customFormat="1" ht="19.5" customHeight="1">
      <c r="A8" s="6"/>
      <c r="B8" s="7"/>
      <c r="C8" s="83"/>
      <c r="D8" s="83"/>
      <c r="E8" s="83"/>
      <c r="F8" s="83"/>
      <c r="G8" s="78"/>
      <c r="H8" s="78"/>
      <c r="I8" s="84"/>
      <c r="J8" s="2" t="s">
        <v>56</v>
      </c>
    </row>
    <row r="9" spans="1:10" s="4" customFormat="1" ht="30" customHeight="1">
      <c r="A9" s="146" t="s">
        <v>3</v>
      </c>
      <c r="B9" s="146" t="s">
        <v>4</v>
      </c>
      <c r="C9" s="150" t="s">
        <v>98</v>
      </c>
      <c r="D9" s="151"/>
      <c r="E9" s="151"/>
      <c r="F9" s="152"/>
      <c r="G9" s="140" t="s">
        <v>55</v>
      </c>
      <c r="H9" s="140"/>
      <c r="I9" s="140"/>
      <c r="J9" s="140"/>
    </row>
    <row r="10" spans="1:10" s="4" customFormat="1" ht="36" customHeight="1">
      <c r="A10" s="146"/>
      <c r="B10" s="146"/>
      <c r="C10" s="86" t="s">
        <v>52</v>
      </c>
      <c r="D10" s="86" t="s">
        <v>0</v>
      </c>
      <c r="E10" s="86" t="s">
        <v>53</v>
      </c>
      <c r="F10" s="87" t="s">
        <v>54</v>
      </c>
      <c r="G10" s="86" t="s">
        <v>52</v>
      </c>
      <c r="H10" s="86" t="s">
        <v>0</v>
      </c>
      <c r="I10" s="85" t="s">
        <v>53</v>
      </c>
      <c r="J10" s="46" t="s">
        <v>54</v>
      </c>
    </row>
    <row r="11" spans="1:10" s="4" customFormat="1" ht="18">
      <c r="A11" s="8" t="s">
        <v>5</v>
      </c>
      <c r="B11" s="8" t="s">
        <v>6</v>
      </c>
      <c r="C11" s="94">
        <v>3</v>
      </c>
      <c r="D11" s="94">
        <v>4</v>
      </c>
      <c r="E11" s="94">
        <v>5</v>
      </c>
      <c r="F11" s="95">
        <v>6</v>
      </c>
      <c r="G11" s="96">
        <v>7</v>
      </c>
      <c r="H11" s="97">
        <v>8</v>
      </c>
      <c r="I11" s="97">
        <v>9</v>
      </c>
      <c r="J11" s="97">
        <v>10</v>
      </c>
    </row>
    <row r="12" spans="1:10" s="4" customFormat="1" ht="13.5" customHeight="1">
      <c r="A12" s="127" t="s">
        <v>13</v>
      </c>
      <c r="B12" s="128"/>
      <c r="C12" s="128"/>
      <c r="D12" s="128"/>
      <c r="E12" s="128"/>
      <c r="F12" s="128"/>
      <c r="G12" s="128"/>
      <c r="H12" s="128"/>
      <c r="I12" s="128"/>
      <c r="J12" s="120"/>
    </row>
    <row r="13" spans="1:10" s="4" customFormat="1" ht="13.5" customHeight="1">
      <c r="A13" s="18" t="s">
        <v>14</v>
      </c>
      <c r="B13" s="107" t="s">
        <v>11</v>
      </c>
      <c r="C13" s="62">
        <f>C14+C15</f>
        <v>75863675.51</v>
      </c>
      <c r="D13" s="62">
        <f>D14+D15</f>
        <v>66220089.2</v>
      </c>
      <c r="E13" s="62">
        <f>D13-C13</f>
        <v>-9643586.310000002</v>
      </c>
      <c r="F13" s="56">
        <f>(D13/C13)*100</f>
        <v>87.28826906267041</v>
      </c>
      <c r="G13" s="62">
        <f>G14+G15</f>
        <v>203459948.74</v>
      </c>
      <c r="H13" s="62">
        <f>H14+H15</f>
        <v>193816362.43</v>
      </c>
      <c r="I13" s="62">
        <f>H13-G13</f>
        <v>-9643586.310000002</v>
      </c>
      <c r="J13" s="62">
        <f aca="true" t="shared" si="0" ref="J13:J24">(H13/G13)*100</f>
        <v>95.2602040992729</v>
      </c>
    </row>
    <row r="14" spans="1:18" s="2" customFormat="1" ht="18">
      <c r="A14" s="14" t="s">
        <v>15</v>
      </c>
      <c r="B14" s="108" t="s">
        <v>16</v>
      </c>
      <c r="C14" s="43">
        <v>75863675.51</v>
      </c>
      <c r="D14" s="43">
        <v>66220089.2</v>
      </c>
      <c r="E14" s="62">
        <f aca="true" t="shared" si="1" ref="E14:E66">D14-C14</f>
        <v>-9643586.310000002</v>
      </c>
      <c r="F14" s="56">
        <f aca="true" t="shared" si="2" ref="F14:F41">(D14/C14)*100</f>
        <v>87.28826906267041</v>
      </c>
      <c r="G14" s="43">
        <f>62640727.32+64955545.91+75863675.51</f>
        <v>203459948.74</v>
      </c>
      <c r="H14" s="43">
        <v>193816362.43</v>
      </c>
      <c r="I14" s="62">
        <f aca="true" t="shared" si="3" ref="I14:I24">H14-G14</f>
        <v>-9643586.310000002</v>
      </c>
      <c r="J14" s="62">
        <f t="shared" si="0"/>
        <v>95.2602040992729</v>
      </c>
      <c r="K14" s="4"/>
      <c r="L14" s="4"/>
      <c r="M14" s="4"/>
      <c r="N14" s="4"/>
      <c r="O14" s="4"/>
      <c r="P14" s="4"/>
      <c r="Q14" s="4"/>
      <c r="R14" s="4"/>
    </row>
    <row r="15" spans="1:18" s="2" customFormat="1" ht="18">
      <c r="A15" s="11" t="s">
        <v>86</v>
      </c>
      <c r="B15" s="109" t="s">
        <v>17</v>
      </c>
      <c r="C15" s="44"/>
      <c r="D15" s="44"/>
      <c r="E15" s="62">
        <f t="shared" si="1"/>
        <v>0</v>
      </c>
      <c r="F15" s="56" t="e">
        <f t="shared" si="2"/>
        <v>#DIV/0!</v>
      </c>
      <c r="G15" s="63"/>
      <c r="H15" s="64"/>
      <c r="I15" s="62">
        <f t="shared" si="3"/>
        <v>0</v>
      </c>
      <c r="J15" s="62" t="e">
        <f t="shared" si="0"/>
        <v>#DIV/0!</v>
      </c>
      <c r="K15" s="4"/>
      <c r="L15" s="4"/>
      <c r="M15" s="4"/>
      <c r="N15" s="4"/>
      <c r="O15" s="4"/>
      <c r="P15" s="4"/>
      <c r="Q15" s="4"/>
      <c r="R15" s="4"/>
    </row>
    <row r="16" spans="1:18" s="2" customFormat="1" ht="18">
      <c r="A16" s="49" t="s">
        <v>71</v>
      </c>
      <c r="B16" s="110" t="s">
        <v>12</v>
      </c>
      <c r="C16" s="111">
        <f>C17</f>
        <v>7189081</v>
      </c>
      <c r="D16" s="111">
        <f>D17</f>
        <v>6383796.81</v>
      </c>
      <c r="E16" s="88">
        <f t="shared" si="1"/>
        <v>-805284.1900000004</v>
      </c>
      <c r="F16" s="65">
        <f t="shared" si="2"/>
        <v>88.79850999035898</v>
      </c>
      <c r="G16" s="111">
        <f>G17</f>
        <v>23333069.35</v>
      </c>
      <c r="H16" s="111">
        <f>H17</f>
        <v>22527785.16</v>
      </c>
      <c r="I16" s="88">
        <f t="shared" si="3"/>
        <v>-805284.1900000013</v>
      </c>
      <c r="J16" s="88">
        <f t="shared" si="0"/>
        <v>96.54874299681452</v>
      </c>
      <c r="K16" s="4"/>
      <c r="L16" s="4"/>
      <c r="M16" s="4"/>
      <c r="N16" s="4"/>
      <c r="O16" s="4"/>
      <c r="P16" s="4"/>
      <c r="Q16" s="4"/>
      <c r="R16" s="4"/>
    </row>
    <row r="17" spans="1:18" s="2" customFormat="1" ht="44.25" customHeight="1">
      <c r="A17" s="11" t="s">
        <v>87</v>
      </c>
      <c r="B17" s="112" t="s">
        <v>84</v>
      </c>
      <c r="C17" s="62">
        <v>7189081</v>
      </c>
      <c r="D17" s="98">
        <f>1192351+295112+657777.76+417514.91+3138237.26+15147+382919.05+132660+147722.18+4355.65</f>
        <v>6383796.81</v>
      </c>
      <c r="E17" s="88">
        <f>D17-C17</f>
        <v>-805284.1900000004</v>
      </c>
      <c r="F17" s="65">
        <f>(D17/C17)*100</f>
        <v>88.79850999035898</v>
      </c>
      <c r="G17" s="62">
        <f>2602973.76+13541014.59+7189081</f>
        <v>23333069.35</v>
      </c>
      <c r="H17" s="62">
        <v>22527785.16</v>
      </c>
      <c r="I17" s="62">
        <f>H17-G17</f>
        <v>-805284.1900000013</v>
      </c>
      <c r="J17" s="62">
        <f>(H17/G17)*100</f>
        <v>96.54874299681452</v>
      </c>
      <c r="K17" s="4"/>
      <c r="L17" s="4"/>
      <c r="M17" s="4"/>
      <c r="N17" s="4"/>
      <c r="O17" s="4"/>
      <c r="P17" s="4"/>
      <c r="Q17" s="4"/>
      <c r="R17" s="4"/>
    </row>
    <row r="18" spans="1:18" s="2" customFormat="1" ht="18">
      <c r="A18" s="59" t="s">
        <v>18</v>
      </c>
      <c r="B18" s="60">
        <v>1030</v>
      </c>
      <c r="C18" s="89">
        <f>C19+C20+C21+C22+C23+C24+C25+C26+C27</f>
        <v>7656554.87</v>
      </c>
      <c r="D18" s="89">
        <f>D19+D20+D21+D22+D23+D24+D25+D26+D27</f>
        <v>4623729.57</v>
      </c>
      <c r="E18" s="62">
        <f t="shared" si="1"/>
        <v>-3032825.3</v>
      </c>
      <c r="F18" s="62">
        <f t="shared" si="2"/>
        <v>60.38916521210799</v>
      </c>
      <c r="G18" s="89">
        <f>G19+G20+G21+G22+G23+G24+G25+G26+G27</f>
        <v>18427050.74</v>
      </c>
      <c r="H18" s="89">
        <f>H19+H20+H21+H22+H23+H24+H25+H26+H27</f>
        <v>15394225.44</v>
      </c>
      <c r="I18" s="62">
        <f t="shared" si="3"/>
        <v>-3032825.299999999</v>
      </c>
      <c r="J18" s="62">
        <f t="shared" si="0"/>
        <v>83.54145032326535</v>
      </c>
      <c r="K18" s="4"/>
      <c r="L18" s="4"/>
      <c r="M18" s="4"/>
      <c r="N18" s="4"/>
      <c r="O18" s="4"/>
      <c r="P18" s="4"/>
      <c r="Q18" s="4"/>
      <c r="R18" s="4"/>
    </row>
    <row r="19" spans="1:18" s="2" customFormat="1" ht="32.25">
      <c r="A19" s="48" t="s">
        <v>64</v>
      </c>
      <c r="B19" s="12">
        <v>1031</v>
      </c>
      <c r="C19" s="99">
        <v>0</v>
      </c>
      <c r="D19" s="99">
        <v>0</v>
      </c>
      <c r="E19" s="62">
        <f t="shared" si="1"/>
        <v>0</v>
      </c>
      <c r="F19" s="90" t="e">
        <f t="shared" si="2"/>
        <v>#DIV/0!</v>
      </c>
      <c r="G19" s="66">
        <v>0</v>
      </c>
      <c r="H19" s="66">
        <v>0</v>
      </c>
      <c r="I19" s="62">
        <f t="shared" si="3"/>
        <v>0</v>
      </c>
      <c r="J19" s="62" t="e">
        <f t="shared" si="0"/>
        <v>#DIV/0!</v>
      </c>
      <c r="K19" s="4"/>
      <c r="L19" s="4"/>
      <c r="M19" s="4"/>
      <c r="N19" s="4"/>
      <c r="O19" s="4"/>
      <c r="P19" s="4"/>
      <c r="Q19" s="4"/>
      <c r="R19" s="4"/>
    </row>
    <row r="20" spans="1:10" ht="32.25">
      <c r="A20" s="48" t="s">
        <v>80</v>
      </c>
      <c r="B20" s="12">
        <v>1032</v>
      </c>
      <c r="C20" s="99">
        <f>3045962</f>
        <v>3045962</v>
      </c>
      <c r="D20" s="113">
        <v>1501838</v>
      </c>
      <c r="E20" s="62">
        <f t="shared" si="1"/>
        <v>-1544124</v>
      </c>
      <c r="F20" s="56">
        <f t="shared" si="2"/>
        <v>49.30586789986218</v>
      </c>
      <c r="G20" s="66">
        <f>1546568+1537119+3045962</f>
        <v>6129649</v>
      </c>
      <c r="H20" s="66">
        <v>4585525</v>
      </c>
      <c r="I20" s="62">
        <f t="shared" si="3"/>
        <v>-1544124</v>
      </c>
      <c r="J20" s="62">
        <f t="shared" si="0"/>
        <v>74.8089327790221</v>
      </c>
    </row>
    <row r="21" spans="1:10" ht="18">
      <c r="A21" s="13" t="s">
        <v>7</v>
      </c>
      <c r="B21" s="12">
        <v>1033</v>
      </c>
      <c r="C21" s="99">
        <f>617873.82+850000</f>
        <v>1467873.8199999998</v>
      </c>
      <c r="D21" s="113">
        <f>867873.5+49755.97</f>
        <v>917629.47</v>
      </c>
      <c r="E21" s="62">
        <f t="shared" si="1"/>
        <v>-550244.3499999999</v>
      </c>
      <c r="F21" s="56">
        <f t="shared" si="2"/>
        <v>62.51419280711744</v>
      </c>
      <c r="G21" s="66">
        <f>1061494.72+1009073.56+1467873.82</f>
        <v>3538442.1</v>
      </c>
      <c r="H21" s="66">
        <v>2988197.75</v>
      </c>
      <c r="I21" s="62">
        <f t="shared" si="3"/>
        <v>-550244.3500000001</v>
      </c>
      <c r="J21" s="62">
        <f t="shared" si="0"/>
        <v>84.44953076948751</v>
      </c>
    </row>
    <row r="22" spans="1:10" ht="18">
      <c r="A22" s="48" t="s">
        <v>81</v>
      </c>
      <c r="B22" s="12">
        <v>1034</v>
      </c>
      <c r="C22" s="99"/>
      <c r="D22" s="113"/>
      <c r="E22" s="62">
        <f t="shared" si="1"/>
        <v>0</v>
      </c>
      <c r="F22" s="56" t="e">
        <f t="shared" si="2"/>
        <v>#DIV/0!</v>
      </c>
      <c r="G22" s="68"/>
      <c r="H22" s="68">
        <v>0</v>
      </c>
      <c r="I22" s="62">
        <f t="shared" si="3"/>
        <v>0</v>
      </c>
      <c r="J22" s="62" t="e">
        <f t="shared" si="0"/>
        <v>#DIV/0!</v>
      </c>
    </row>
    <row r="23" spans="1:10" ht="18">
      <c r="A23" s="13" t="s">
        <v>85</v>
      </c>
      <c r="B23" s="12">
        <v>1035</v>
      </c>
      <c r="C23" s="99">
        <f>29123.58+353264.5+230310</f>
        <v>612698.0800000001</v>
      </c>
      <c r="D23" s="113">
        <v>319025.43</v>
      </c>
      <c r="E23" s="62">
        <f t="shared" si="1"/>
        <v>-293672.6500000001</v>
      </c>
      <c r="F23" s="56">
        <f t="shared" si="2"/>
        <v>52.068945605313466</v>
      </c>
      <c r="G23" s="68">
        <f>654605.39+490637.36+612698.08</f>
        <v>1757940.83</v>
      </c>
      <c r="H23" s="68">
        <v>1464268.18</v>
      </c>
      <c r="I23" s="62">
        <f t="shared" si="3"/>
        <v>-293672.65000000014</v>
      </c>
      <c r="J23" s="62">
        <f t="shared" si="0"/>
        <v>83.29450883736513</v>
      </c>
    </row>
    <row r="24" spans="1:10" ht="18">
      <c r="A24" s="11" t="s">
        <v>63</v>
      </c>
      <c r="B24" s="12">
        <v>1036</v>
      </c>
      <c r="C24" s="99">
        <f>41190.89+83493.5</f>
        <v>124684.39</v>
      </c>
      <c r="D24" s="113">
        <v>360034.67</v>
      </c>
      <c r="E24" s="88">
        <f t="shared" si="1"/>
        <v>235350.27999999997</v>
      </c>
      <c r="F24" s="65">
        <f t="shared" si="2"/>
        <v>288.75681230024065</v>
      </c>
      <c r="G24" s="66">
        <f>60039.12+499776.87+124684.39</f>
        <v>684500.38</v>
      </c>
      <c r="H24" s="66">
        <v>919850.66</v>
      </c>
      <c r="I24" s="88">
        <f t="shared" si="3"/>
        <v>235350.28000000003</v>
      </c>
      <c r="J24" s="88">
        <f t="shared" si="0"/>
        <v>134.38278295769535</v>
      </c>
    </row>
    <row r="25" spans="1:10" ht="18">
      <c r="A25" s="57" t="s">
        <v>82</v>
      </c>
      <c r="B25" s="58">
        <v>1037</v>
      </c>
      <c r="C25" s="100">
        <f>1160047.44+1200000</f>
        <v>2360047.44</v>
      </c>
      <c r="D25" s="100">
        <f>396644.38</f>
        <v>396644.38</v>
      </c>
      <c r="E25" s="88">
        <f>D25-C25</f>
        <v>-1963403.06</v>
      </c>
      <c r="F25" s="65">
        <f>(D25/C25)*100</f>
        <v>16.806627412540486</v>
      </c>
      <c r="G25" s="66">
        <f>2013789.43+1474149.07+2360047.44</f>
        <v>5847985.9399999995</v>
      </c>
      <c r="H25" s="66">
        <v>3884582.88</v>
      </c>
      <c r="I25" s="88">
        <f>H25-G25</f>
        <v>-1963403.0599999996</v>
      </c>
      <c r="J25" s="88">
        <f>(H25/G25)*100</f>
        <v>66.42599554539969</v>
      </c>
    </row>
    <row r="26" spans="1:10" ht="18">
      <c r="A26" s="48" t="s">
        <v>83</v>
      </c>
      <c r="B26" s="12">
        <v>1038</v>
      </c>
      <c r="C26" s="100"/>
      <c r="D26" s="100"/>
      <c r="E26" s="88">
        <f>D26-C26</f>
        <v>0</v>
      </c>
      <c r="F26" s="65" t="e">
        <f>(D26/C26)*100</f>
        <v>#DIV/0!</v>
      </c>
      <c r="G26" s="66"/>
      <c r="H26" s="66">
        <v>0</v>
      </c>
      <c r="I26" s="88">
        <f>H26-G26</f>
        <v>0</v>
      </c>
      <c r="J26" s="88" t="e">
        <f>(H26/G26)*100</f>
        <v>#DIV/0!</v>
      </c>
    </row>
    <row r="27" spans="1:10" s="75" customFormat="1" ht="32.25">
      <c r="A27" s="48" t="s">
        <v>96</v>
      </c>
      <c r="B27" s="114">
        <v>1039</v>
      </c>
      <c r="C27" s="100">
        <f>6289.14+30000+9000</f>
        <v>45289.14</v>
      </c>
      <c r="D27" s="100">
        <v>1128557.62</v>
      </c>
      <c r="E27" s="88">
        <f>D27-C27</f>
        <v>1083268.4800000002</v>
      </c>
      <c r="F27" s="65">
        <f>(D27/C27)*100</f>
        <v>2491.894568984971</v>
      </c>
      <c r="G27" s="66">
        <f>244375.97+178867.38+45289.14</f>
        <v>468532.49</v>
      </c>
      <c r="H27" s="66">
        <v>1551800.97</v>
      </c>
      <c r="I27" s="88">
        <f>H27-G27</f>
        <v>1083268.48</v>
      </c>
      <c r="J27" s="88">
        <f>(H27/G27)*100</f>
        <v>331.204559581343</v>
      </c>
    </row>
    <row r="28" spans="1:10" ht="18">
      <c r="A28" s="147" t="s">
        <v>65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8">
      <c r="A29" s="23" t="s">
        <v>19</v>
      </c>
      <c r="B29" s="15">
        <v>1040</v>
      </c>
      <c r="C29" s="101">
        <f>54527150.22+6471.16+2347991.16</f>
        <v>56881612.53999999</v>
      </c>
      <c r="D29" s="101">
        <v>42889211.82</v>
      </c>
      <c r="E29" s="89">
        <f t="shared" si="1"/>
        <v>-13992400.719999991</v>
      </c>
      <c r="F29" s="90">
        <f t="shared" si="2"/>
        <v>75.40083676397126</v>
      </c>
      <c r="G29" s="55">
        <f>43055166.9+43753819.72+56881612.54</f>
        <v>143690599.16</v>
      </c>
      <c r="H29" s="55">
        <v>129698198.44</v>
      </c>
      <c r="I29" s="89">
        <f aca="true" t="shared" si="4" ref="I29:I41">H29-G29</f>
        <v>-13992400.719999999</v>
      </c>
      <c r="J29" s="89">
        <f aca="true" t="shared" si="5" ref="J29:J41">(H29/G29)*100</f>
        <v>90.26213210759919</v>
      </c>
    </row>
    <row r="30" spans="1:10" ht="18">
      <c r="A30" s="14" t="s">
        <v>20</v>
      </c>
      <c r="B30" s="16">
        <v>1050</v>
      </c>
      <c r="C30" s="102">
        <v>12513954.96</v>
      </c>
      <c r="D30" s="102">
        <v>9185659.08</v>
      </c>
      <c r="E30" s="62">
        <f t="shared" si="1"/>
        <v>-3328295.880000001</v>
      </c>
      <c r="F30" s="56">
        <f t="shared" si="2"/>
        <v>73.40332540241138</v>
      </c>
      <c r="G30" s="69">
        <f>9341355.72+9361671.47+12513954.96</f>
        <v>31216982.150000002</v>
      </c>
      <c r="H30" s="69">
        <v>27888686.270000003</v>
      </c>
      <c r="I30" s="62">
        <f t="shared" si="4"/>
        <v>-3328295.879999999</v>
      </c>
      <c r="J30" s="62">
        <f t="shared" si="5"/>
        <v>89.33818822073421</v>
      </c>
    </row>
    <row r="31" spans="1:10" ht="18">
      <c r="A31" s="14" t="s">
        <v>21</v>
      </c>
      <c r="B31" s="16">
        <v>1060</v>
      </c>
      <c r="C31" s="99">
        <f>553535.06+746177.37+12337</f>
        <v>1312049.4300000002</v>
      </c>
      <c r="D31" s="99">
        <v>155043.25</v>
      </c>
      <c r="E31" s="62">
        <f t="shared" si="1"/>
        <v>-1157006.1800000002</v>
      </c>
      <c r="F31" s="56">
        <f t="shared" si="2"/>
        <v>11.8168756797524</v>
      </c>
      <c r="G31" s="66">
        <f>100600.63+77315.09+1312049.43</f>
        <v>1489965.15</v>
      </c>
      <c r="H31" s="66">
        <v>332958.97</v>
      </c>
      <c r="I31" s="62">
        <f t="shared" si="4"/>
        <v>-1157006.18</v>
      </c>
      <c r="J31" s="62">
        <f t="shared" si="5"/>
        <v>22.34676227158736</v>
      </c>
    </row>
    <row r="32" spans="1:10" ht="18">
      <c r="A32" s="14" t="s">
        <v>22</v>
      </c>
      <c r="B32" s="16">
        <v>1070</v>
      </c>
      <c r="C32" s="100">
        <f>4170690+3851372.98+5627500+273565</f>
        <v>13923127.98</v>
      </c>
      <c r="D32" s="100">
        <v>5199215.73</v>
      </c>
      <c r="E32" s="62">
        <f t="shared" si="1"/>
        <v>-8723912.25</v>
      </c>
      <c r="F32" s="56">
        <f t="shared" si="2"/>
        <v>37.34229648300626</v>
      </c>
      <c r="G32" s="66">
        <f>6616954.43+5827648.13+13923127.98</f>
        <v>26367730.54</v>
      </c>
      <c r="H32" s="66">
        <v>17265587.22</v>
      </c>
      <c r="I32" s="62">
        <f t="shared" si="4"/>
        <v>-9102143.32</v>
      </c>
      <c r="J32" s="62">
        <f t="shared" si="5"/>
        <v>65.47998961764269</v>
      </c>
    </row>
    <row r="33" spans="1:10" ht="18">
      <c r="A33" s="14" t="s">
        <v>23</v>
      </c>
      <c r="B33" s="16">
        <v>1080</v>
      </c>
      <c r="C33" s="99">
        <f>257493.55+502875</f>
        <v>760368.55</v>
      </c>
      <c r="D33" s="99">
        <v>921223.34</v>
      </c>
      <c r="E33" s="62">
        <f t="shared" si="1"/>
        <v>160854.78999999992</v>
      </c>
      <c r="F33" s="56">
        <f t="shared" si="2"/>
        <v>121.15484523919353</v>
      </c>
      <c r="G33" s="66">
        <f>594981.14+1039493.48+760368.55</f>
        <v>2394843.17</v>
      </c>
      <c r="H33" s="66">
        <v>2555697.96</v>
      </c>
      <c r="I33" s="62">
        <f t="shared" si="4"/>
        <v>160854.79000000004</v>
      </c>
      <c r="J33" s="62">
        <f t="shared" si="5"/>
        <v>106.7167149822174</v>
      </c>
    </row>
    <row r="34" spans="1:10" ht="18">
      <c r="A34" s="14" t="s">
        <v>24</v>
      </c>
      <c r="B34" s="16">
        <v>1090</v>
      </c>
      <c r="C34" s="100">
        <f>750000+264120.44+1071365.11+185580</f>
        <v>2271065.55</v>
      </c>
      <c r="D34" s="100">
        <v>2840060.77</v>
      </c>
      <c r="E34" s="62">
        <f t="shared" si="1"/>
        <v>568995.2200000002</v>
      </c>
      <c r="F34" s="56">
        <f t="shared" si="2"/>
        <v>125.05410819163718</v>
      </c>
      <c r="G34" s="66">
        <f>1054749.11+1589529.22+2271065.55</f>
        <v>4915343.88</v>
      </c>
      <c r="H34" s="66">
        <v>5484339.1</v>
      </c>
      <c r="I34" s="62">
        <f t="shared" si="4"/>
        <v>568995.2199999997</v>
      </c>
      <c r="J34" s="62">
        <f t="shared" si="5"/>
        <v>111.57589853103013</v>
      </c>
    </row>
    <row r="35" spans="1:10" ht="18">
      <c r="A35" s="14" t="s">
        <v>25</v>
      </c>
      <c r="B35" s="16">
        <v>1100</v>
      </c>
      <c r="C35" s="99">
        <v>0</v>
      </c>
      <c r="D35" s="99">
        <v>0</v>
      </c>
      <c r="E35" s="62">
        <f t="shared" si="1"/>
        <v>0</v>
      </c>
      <c r="F35" s="56" t="e">
        <f t="shared" si="2"/>
        <v>#DIV/0!</v>
      </c>
      <c r="G35" s="66">
        <v>0</v>
      </c>
      <c r="H35" s="66">
        <v>0</v>
      </c>
      <c r="I35" s="62">
        <f t="shared" si="4"/>
        <v>0</v>
      </c>
      <c r="J35" s="62" t="e">
        <f t="shared" si="5"/>
        <v>#DIV/0!</v>
      </c>
    </row>
    <row r="36" spans="1:10" ht="18">
      <c r="A36" s="14" t="s">
        <v>57</v>
      </c>
      <c r="B36" s="16">
        <v>1110</v>
      </c>
      <c r="C36" s="99">
        <f>1736287+46993+83493.5</f>
        <v>1866773.5</v>
      </c>
      <c r="D36" s="99">
        <v>3993474.19</v>
      </c>
      <c r="E36" s="62">
        <f t="shared" si="1"/>
        <v>2126700.69</v>
      </c>
      <c r="F36" s="56">
        <f t="shared" si="2"/>
        <v>213.92387399971128</v>
      </c>
      <c r="G36" s="66">
        <f>377981.3+11201364.29+1866773.5</f>
        <v>13446119.09</v>
      </c>
      <c r="H36" s="66">
        <v>15572819.78</v>
      </c>
      <c r="I36" s="62">
        <f t="shared" si="4"/>
        <v>2126700.6899999995</v>
      </c>
      <c r="J36" s="62">
        <f t="shared" si="5"/>
        <v>115.81646477890892</v>
      </c>
    </row>
    <row r="37" spans="1:10" ht="31.5">
      <c r="A37" s="17" t="s">
        <v>26</v>
      </c>
      <c r="B37" s="16">
        <v>1120</v>
      </c>
      <c r="C37" s="99">
        <v>0</v>
      </c>
      <c r="D37" s="99">
        <v>0</v>
      </c>
      <c r="E37" s="62">
        <f t="shared" si="1"/>
        <v>0</v>
      </c>
      <c r="F37" s="56" t="e">
        <f t="shared" si="2"/>
        <v>#DIV/0!</v>
      </c>
      <c r="G37" s="66">
        <v>0</v>
      </c>
      <c r="H37" s="66">
        <v>0</v>
      </c>
      <c r="I37" s="62">
        <f t="shared" si="4"/>
        <v>0</v>
      </c>
      <c r="J37" s="62" t="e">
        <f t="shared" si="5"/>
        <v>#DIV/0!</v>
      </c>
    </row>
    <row r="38" spans="1:10" ht="18">
      <c r="A38" s="17" t="s">
        <v>27</v>
      </c>
      <c r="B38" s="16">
        <v>1130</v>
      </c>
      <c r="C38" s="100">
        <f>1233963.5+750</f>
        <v>1234713.5</v>
      </c>
      <c r="D38" s="100">
        <v>515579.05</v>
      </c>
      <c r="E38" s="62">
        <f t="shared" si="1"/>
        <v>-719134.45</v>
      </c>
      <c r="F38" s="56">
        <f t="shared" si="2"/>
        <v>41.75697844074759</v>
      </c>
      <c r="G38" s="66">
        <f>585642.95+498417.22+1234713.5</f>
        <v>2318773.67</v>
      </c>
      <c r="H38" s="66">
        <v>1599639.22</v>
      </c>
      <c r="I38" s="62">
        <f t="shared" si="4"/>
        <v>-719134.45</v>
      </c>
      <c r="J38" s="62">
        <f t="shared" si="5"/>
        <v>68.98643195305905</v>
      </c>
    </row>
    <row r="39" spans="1:10" ht="18">
      <c r="A39" s="14" t="s">
        <v>28</v>
      </c>
      <c r="B39" s="16">
        <v>1140</v>
      </c>
      <c r="C39" s="99">
        <f>30000+56152</f>
        <v>86152</v>
      </c>
      <c r="D39" s="99">
        <v>232410.41</v>
      </c>
      <c r="E39" s="62">
        <f t="shared" si="1"/>
        <v>146258.41</v>
      </c>
      <c r="F39" s="56">
        <f t="shared" si="2"/>
        <v>269.76786377565236</v>
      </c>
      <c r="G39" s="66">
        <f>174756.03+86152</f>
        <v>260908.03</v>
      </c>
      <c r="H39" s="66">
        <v>407166.44</v>
      </c>
      <c r="I39" s="62">
        <f t="shared" si="4"/>
        <v>146258.41</v>
      </c>
      <c r="J39" s="62">
        <f t="shared" si="5"/>
        <v>156.0574582545428</v>
      </c>
    </row>
    <row r="40" spans="1:10" ht="18">
      <c r="A40" s="18" t="s">
        <v>29</v>
      </c>
      <c r="B40" s="19">
        <v>1170</v>
      </c>
      <c r="C40" s="43">
        <f>C13+C16+C18+C43+C54</f>
        <v>92791511.38000001</v>
      </c>
      <c r="D40" s="43">
        <f>D13+D16+D18+D43+D54</f>
        <v>80790458.22000001</v>
      </c>
      <c r="E40" s="62">
        <f t="shared" si="1"/>
        <v>-12001053.159999996</v>
      </c>
      <c r="F40" s="56">
        <f t="shared" si="2"/>
        <v>87.06664760437702</v>
      </c>
      <c r="G40" s="43">
        <f>G13+G16+G18+G43+G54</f>
        <v>252903999.22</v>
      </c>
      <c r="H40" s="43">
        <f>H13+H16+H18+H43+H54</f>
        <v>240902946.05</v>
      </c>
      <c r="I40" s="62">
        <f t="shared" si="4"/>
        <v>-12001053.169999987</v>
      </c>
      <c r="J40" s="62">
        <f t="shared" si="5"/>
        <v>95.25470012059385</v>
      </c>
    </row>
    <row r="41" spans="1:10" ht="18">
      <c r="A41" s="18" t="s">
        <v>30</v>
      </c>
      <c r="B41" s="19">
        <v>1180</v>
      </c>
      <c r="C41" s="43">
        <f>C29+C30+C31+C32+C33+C34+C35+C36+C37+C38+C39+C46+C59</f>
        <v>92787018.01</v>
      </c>
      <c r="D41" s="43">
        <f>D29+D30+D31+D32+D33+D34+D35+D36+D37+D38+D39+D46+D59</f>
        <v>69094752.47</v>
      </c>
      <c r="E41" s="62">
        <f t="shared" si="1"/>
        <v>-23692265.540000007</v>
      </c>
      <c r="F41" s="56">
        <f t="shared" si="2"/>
        <v>74.46596943394968</v>
      </c>
      <c r="G41" s="43">
        <f>G29+G30+G31+G32+G33+G34+G35+G36+G37+G38+G39+G46+G59</f>
        <v>233742839.08999997</v>
      </c>
      <c r="H41" s="43">
        <f>H29+H30+H31+H32+H33+H34+H35+H36+H37+H38+H39+H46+H59</f>
        <v>210050573.55</v>
      </c>
      <c r="I41" s="62">
        <f t="shared" si="4"/>
        <v>-23692265.53999996</v>
      </c>
      <c r="J41" s="62">
        <f t="shared" si="5"/>
        <v>89.86396091010192</v>
      </c>
    </row>
    <row r="42" spans="1:10" ht="18">
      <c r="A42" s="129" t="s">
        <v>38</v>
      </c>
      <c r="B42" s="130"/>
      <c r="C42" s="130"/>
      <c r="D42" s="130"/>
      <c r="E42" s="130"/>
      <c r="F42" s="130"/>
      <c r="G42" s="130"/>
      <c r="H42" s="130"/>
      <c r="I42" s="130"/>
      <c r="J42" s="135"/>
    </row>
    <row r="43" spans="1:10" ht="18">
      <c r="A43" s="45" t="s">
        <v>69</v>
      </c>
      <c r="B43" s="47">
        <v>2010</v>
      </c>
      <c r="C43" s="62">
        <f>C44+C45</f>
        <v>2082200</v>
      </c>
      <c r="D43" s="62">
        <f>D44+D45</f>
        <v>3562842.64</v>
      </c>
      <c r="E43" s="62">
        <f t="shared" si="1"/>
        <v>1480642.6400000001</v>
      </c>
      <c r="F43" s="56">
        <f aca="true" t="shared" si="6" ref="F43:F52">(D43/C43)*100</f>
        <v>171.10953030448565</v>
      </c>
      <c r="G43" s="115">
        <f>G44+G45</f>
        <v>7683930.39</v>
      </c>
      <c r="H43" s="62">
        <f>H44+H45</f>
        <v>9164573.02</v>
      </c>
      <c r="I43" s="62">
        <f aca="true" t="shared" si="7" ref="I43:I52">H43-G43</f>
        <v>1480642.63</v>
      </c>
      <c r="J43" s="62">
        <f aca="true" t="shared" si="8" ref="J43:J52">(H43/G43)*100</f>
        <v>119.26933945064017</v>
      </c>
    </row>
    <row r="44" spans="1:10" ht="31.5">
      <c r="A44" s="32" t="s">
        <v>70</v>
      </c>
      <c r="B44" s="12">
        <v>2011</v>
      </c>
      <c r="C44" s="98">
        <f>275000+350000</f>
        <v>625000</v>
      </c>
      <c r="D44" s="98">
        <f>1811909.07+85302.76</f>
        <v>1897211.83</v>
      </c>
      <c r="E44" s="62">
        <f t="shared" si="1"/>
        <v>1272211.83</v>
      </c>
      <c r="F44" s="56">
        <f t="shared" si="6"/>
        <v>303.5538928</v>
      </c>
      <c r="G44" s="115">
        <f>1102295.02+1317388.86+625000</f>
        <v>3044683.88</v>
      </c>
      <c r="H44" s="62">
        <v>4316895.7</v>
      </c>
      <c r="I44" s="62">
        <f t="shared" si="7"/>
        <v>1272211.8200000003</v>
      </c>
      <c r="J44" s="62">
        <f t="shared" si="8"/>
        <v>141.78469326017517</v>
      </c>
    </row>
    <row r="45" spans="1:10" ht="18">
      <c r="A45" s="32" t="s">
        <v>72</v>
      </c>
      <c r="B45" s="12">
        <v>2012</v>
      </c>
      <c r="C45" s="98">
        <f>250000+975000+232200</f>
        <v>1457200</v>
      </c>
      <c r="D45" s="98">
        <v>1665630.81</v>
      </c>
      <c r="E45" s="62">
        <f t="shared" si="1"/>
        <v>208430.81000000006</v>
      </c>
      <c r="F45" s="56">
        <f t="shared" si="6"/>
        <v>114.30351427395004</v>
      </c>
      <c r="G45" s="115">
        <f>1518762.94+1663283.57+1457200</f>
        <v>4639246.51</v>
      </c>
      <c r="H45" s="62">
        <v>4847677.32</v>
      </c>
      <c r="I45" s="62">
        <f t="shared" si="7"/>
        <v>208430.81000000052</v>
      </c>
      <c r="J45" s="62">
        <f t="shared" si="8"/>
        <v>104.49277290074419</v>
      </c>
    </row>
    <row r="46" spans="1:10" ht="18">
      <c r="A46" s="45" t="s">
        <v>88</v>
      </c>
      <c r="B46" s="50">
        <v>3010</v>
      </c>
      <c r="C46" s="70">
        <f>C47+C48+C49+C50+C51+C52</f>
        <v>1937200</v>
      </c>
      <c r="D46" s="70">
        <f>D47+D48+D49+D50+D51+D52</f>
        <v>3162874.83</v>
      </c>
      <c r="E46" s="62">
        <f t="shared" si="1"/>
        <v>1225674.83</v>
      </c>
      <c r="F46" s="56">
        <f t="shared" si="6"/>
        <v>163.2704330993186</v>
      </c>
      <c r="G46" s="116">
        <f>G47+G48+G49+G50+G51+G52</f>
        <v>7641574.249999999</v>
      </c>
      <c r="H46" s="70">
        <f>H47+H48+H49+H50+H51+H52</f>
        <v>9245480.149999999</v>
      </c>
      <c r="I46" s="62">
        <f t="shared" si="7"/>
        <v>1603905.8999999994</v>
      </c>
      <c r="J46" s="62">
        <f t="shared" si="8"/>
        <v>120.98920781931812</v>
      </c>
    </row>
    <row r="47" spans="1:23" ht="18">
      <c r="A47" s="14" t="s">
        <v>39</v>
      </c>
      <c r="B47" s="16">
        <v>3011</v>
      </c>
      <c r="C47" s="101"/>
      <c r="D47" s="101"/>
      <c r="E47" s="62">
        <f t="shared" si="1"/>
        <v>0</v>
      </c>
      <c r="F47" s="56" t="e">
        <f t="shared" si="6"/>
        <v>#DIV/0!</v>
      </c>
      <c r="G47" s="106"/>
      <c r="H47" s="69"/>
      <c r="I47" s="62">
        <f t="shared" si="7"/>
        <v>0</v>
      </c>
      <c r="J47" s="62" t="e">
        <f t="shared" si="8"/>
        <v>#DIV/0!</v>
      </c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spans="1:23" ht="18">
      <c r="A48" s="14" t="s">
        <v>90</v>
      </c>
      <c r="B48" s="16">
        <v>3012</v>
      </c>
      <c r="C48" s="99">
        <f>1000000+237200+700000</f>
        <v>1937200</v>
      </c>
      <c r="D48" s="99">
        <f>3145576.44-378231.07</f>
        <v>2767345.37</v>
      </c>
      <c r="E48" s="62">
        <f t="shared" si="1"/>
        <v>830145.3700000001</v>
      </c>
      <c r="F48" s="56">
        <f t="shared" si="6"/>
        <v>142.85284792483998</v>
      </c>
      <c r="G48" s="103">
        <f>2641617.22+2869188.46+1937200</f>
        <v>7448005.68</v>
      </c>
      <c r="H48" s="69">
        <v>8656382.12</v>
      </c>
      <c r="I48" s="62">
        <f t="shared" si="7"/>
        <v>1208376.4399999995</v>
      </c>
      <c r="J48" s="62">
        <f t="shared" si="8"/>
        <v>116.22416109650442</v>
      </c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</row>
    <row r="49" spans="1:23" ht="18">
      <c r="A49" s="14" t="s">
        <v>91</v>
      </c>
      <c r="B49" s="16">
        <v>3013</v>
      </c>
      <c r="C49" s="44"/>
      <c r="D49" s="101">
        <v>395424.37</v>
      </c>
      <c r="E49" s="62">
        <f t="shared" si="1"/>
        <v>395424.37</v>
      </c>
      <c r="F49" s="56" t="e">
        <f t="shared" si="6"/>
        <v>#DIV/0!</v>
      </c>
      <c r="G49" s="44">
        <f>60483.69+132874.7+0</f>
        <v>193358.39</v>
      </c>
      <c r="H49" s="69">
        <v>588782.76</v>
      </c>
      <c r="I49" s="62">
        <f t="shared" si="7"/>
        <v>395424.37</v>
      </c>
      <c r="J49" s="62">
        <f t="shared" si="8"/>
        <v>304.5033422133893</v>
      </c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</row>
    <row r="50" spans="1:23" ht="18">
      <c r="A50" s="14" t="s">
        <v>92</v>
      </c>
      <c r="B50" s="16">
        <v>3014</v>
      </c>
      <c r="C50" s="44"/>
      <c r="D50" s="101">
        <v>105.09</v>
      </c>
      <c r="E50" s="62">
        <f t="shared" si="1"/>
        <v>105.09</v>
      </c>
      <c r="F50" s="56" t="e">
        <f t="shared" si="6"/>
        <v>#DIV/0!</v>
      </c>
      <c r="G50" s="44">
        <f>105.09+105.09+0</f>
        <v>210.18</v>
      </c>
      <c r="H50" s="69">
        <v>315.27</v>
      </c>
      <c r="I50" s="62">
        <f t="shared" si="7"/>
        <v>105.08999999999997</v>
      </c>
      <c r="J50" s="62">
        <f t="shared" si="8"/>
        <v>149.99999999999997</v>
      </c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spans="1:23" ht="31.5">
      <c r="A51" s="14" t="s">
        <v>40</v>
      </c>
      <c r="B51" s="16">
        <v>3015</v>
      </c>
      <c r="C51" s="44"/>
      <c r="D51" s="44"/>
      <c r="E51" s="62">
        <f t="shared" si="1"/>
        <v>0</v>
      </c>
      <c r="F51" s="56" t="e">
        <f t="shared" si="6"/>
        <v>#DIV/0!</v>
      </c>
      <c r="G51" s="69"/>
      <c r="H51" s="67"/>
      <c r="I51" s="62">
        <f t="shared" si="7"/>
        <v>0</v>
      </c>
      <c r="J51" s="62" t="e">
        <f t="shared" si="8"/>
        <v>#DIV/0!</v>
      </c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</row>
    <row r="52" spans="1:23" ht="18">
      <c r="A52" s="14" t="s">
        <v>8</v>
      </c>
      <c r="B52" s="16">
        <v>3016</v>
      </c>
      <c r="C52" s="44"/>
      <c r="D52" s="44"/>
      <c r="E52" s="62">
        <f t="shared" si="1"/>
        <v>0</v>
      </c>
      <c r="F52" s="56" t="e">
        <f t="shared" si="6"/>
        <v>#DIV/0!</v>
      </c>
      <c r="G52" s="69"/>
      <c r="H52" s="67"/>
      <c r="I52" s="62">
        <f t="shared" si="7"/>
        <v>0</v>
      </c>
      <c r="J52" s="62" t="e">
        <f t="shared" si="8"/>
        <v>#DIV/0!</v>
      </c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</row>
    <row r="53" spans="1:10" ht="18">
      <c r="A53" s="129" t="s">
        <v>42</v>
      </c>
      <c r="B53" s="130"/>
      <c r="C53" s="130"/>
      <c r="D53" s="130"/>
      <c r="E53" s="130"/>
      <c r="F53" s="130"/>
      <c r="G53" s="130"/>
      <c r="H53" s="130"/>
      <c r="I53" s="130"/>
      <c r="J53" s="131"/>
    </row>
    <row r="54" spans="1:10" ht="18">
      <c r="A54" s="21" t="s">
        <v>43</v>
      </c>
      <c r="B54" s="47">
        <v>4010</v>
      </c>
      <c r="C54" s="71">
        <f>C55+C56+C57+C58</f>
        <v>0</v>
      </c>
      <c r="D54" s="71">
        <f>D55+D56+D57+D58</f>
        <v>0</v>
      </c>
      <c r="E54" s="62">
        <f t="shared" si="1"/>
        <v>0</v>
      </c>
      <c r="F54" s="56" t="e">
        <f aca="true" t="shared" si="9" ref="F54:F63">(D54/C54)*100</f>
        <v>#DIV/0!</v>
      </c>
      <c r="G54" s="71">
        <f>G55+G56+G57+G58</f>
        <v>0</v>
      </c>
      <c r="H54" s="71">
        <f>H55+H56+H57+H58</f>
        <v>0</v>
      </c>
      <c r="I54" s="62">
        <f aca="true" t="shared" si="10" ref="I54:I63">H54-G54</f>
        <v>0</v>
      </c>
      <c r="J54" s="54" t="e">
        <f aca="true" t="shared" si="11" ref="J54:J63">(H54/G54)*100</f>
        <v>#DIV/0!</v>
      </c>
    </row>
    <row r="55" spans="1:10" ht="18">
      <c r="A55" s="14" t="s">
        <v>44</v>
      </c>
      <c r="B55" s="15">
        <v>4011</v>
      </c>
      <c r="C55" s="44"/>
      <c r="D55" s="44"/>
      <c r="E55" s="62">
        <f t="shared" si="1"/>
        <v>0</v>
      </c>
      <c r="F55" s="56" t="e">
        <f t="shared" si="9"/>
        <v>#DIV/0!</v>
      </c>
      <c r="G55" s="69"/>
      <c r="H55" s="67"/>
      <c r="I55" s="62">
        <f t="shared" si="10"/>
        <v>0</v>
      </c>
      <c r="J55" s="54" t="e">
        <f t="shared" si="11"/>
        <v>#DIV/0!</v>
      </c>
    </row>
    <row r="56" spans="1:10" ht="18">
      <c r="A56" s="14" t="s">
        <v>45</v>
      </c>
      <c r="B56" s="16">
        <v>4012</v>
      </c>
      <c r="C56" s="44"/>
      <c r="D56" s="44"/>
      <c r="E56" s="62">
        <f t="shared" si="1"/>
        <v>0</v>
      </c>
      <c r="F56" s="56" t="e">
        <f t="shared" si="9"/>
        <v>#DIV/0!</v>
      </c>
      <c r="G56" s="69"/>
      <c r="H56" s="67"/>
      <c r="I56" s="62">
        <f t="shared" si="10"/>
        <v>0</v>
      </c>
      <c r="J56" s="54" t="e">
        <f t="shared" si="11"/>
        <v>#DIV/0!</v>
      </c>
    </row>
    <row r="57" spans="1:10" ht="18">
      <c r="A57" s="14" t="s">
        <v>46</v>
      </c>
      <c r="B57" s="16">
        <v>4013</v>
      </c>
      <c r="C57" s="44"/>
      <c r="D57" s="44"/>
      <c r="E57" s="62">
        <f t="shared" si="1"/>
        <v>0</v>
      </c>
      <c r="F57" s="56" t="e">
        <f t="shared" si="9"/>
        <v>#DIV/0!</v>
      </c>
      <c r="G57" s="69"/>
      <c r="H57" s="67"/>
      <c r="I57" s="62">
        <f t="shared" si="10"/>
        <v>0</v>
      </c>
      <c r="J57" s="54" t="e">
        <f t="shared" si="11"/>
        <v>#DIV/0!</v>
      </c>
    </row>
    <row r="58" spans="1:10" ht="18">
      <c r="A58" s="14" t="s">
        <v>47</v>
      </c>
      <c r="B58" s="16">
        <v>4020</v>
      </c>
      <c r="C58" s="44"/>
      <c r="D58" s="44"/>
      <c r="E58" s="62">
        <f t="shared" si="1"/>
        <v>0</v>
      </c>
      <c r="F58" s="56" t="e">
        <f t="shared" si="9"/>
        <v>#DIV/0!</v>
      </c>
      <c r="G58" s="69"/>
      <c r="H58" s="67"/>
      <c r="I58" s="62">
        <f t="shared" si="10"/>
        <v>0</v>
      </c>
      <c r="J58" s="54" t="e">
        <f t="shared" si="11"/>
        <v>#DIV/0!</v>
      </c>
    </row>
    <row r="59" spans="1:10" ht="18">
      <c r="A59" s="18" t="s">
        <v>48</v>
      </c>
      <c r="B59" s="19">
        <v>4030</v>
      </c>
      <c r="C59" s="43">
        <f>C60+C61+C62+C63</f>
        <v>0</v>
      </c>
      <c r="D59" s="43">
        <f>D60+D61+D62+D63</f>
        <v>0</v>
      </c>
      <c r="E59" s="62">
        <f t="shared" si="1"/>
        <v>0</v>
      </c>
      <c r="F59" s="56" t="e">
        <f t="shared" si="9"/>
        <v>#DIV/0!</v>
      </c>
      <c r="G59" s="43">
        <f>G60+G61+G62+G63</f>
        <v>0</v>
      </c>
      <c r="H59" s="43">
        <f>H60+H61+H62+H63</f>
        <v>0</v>
      </c>
      <c r="I59" s="62">
        <f t="shared" si="10"/>
        <v>0</v>
      </c>
      <c r="J59" s="54" t="e">
        <f t="shared" si="11"/>
        <v>#DIV/0!</v>
      </c>
    </row>
    <row r="60" spans="1:10" ht="18">
      <c r="A60" s="14" t="s">
        <v>44</v>
      </c>
      <c r="B60" s="16">
        <v>4031</v>
      </c>
      <c r="C60" s="44"/>
      <c r="D60" s="44"/>
      <c r="E60" s="62">
        <f t="shared" si="1"/>
        <v>0</v>
      </c>
      <c r="F60" s="56" t="e">
        <f t="shared" si="9"/>
        <v>#DIV/0!</v>
      </c>
      <c r="G60" s="69"/>
      <c r="H60" s="67"/>
      <c r="I60" s="62">
        <f t="shared" si="10"/>
        <v>0</v>
      </c>
      <c r="J60" s="54" t="e">
        <f t="shared" si="11"/>
        <v>#DIV/0!</v>
      </c>
    </row>
    <row r="61" spans="1:10" ht="18">
      <c r="A61" s="14" t="s">
        <v>45</v>
      </c>
      <c r="B61" s="16">
        <v>4032</v>
      </c>
      <c r="C61" s="44"/>
      <c r="D61" s="44"/>
      <c r="E61" s="62">
        <f t="shared" si="1"/>
        <v>0</v>
      </c>
      <c r="F61" s="56" t="e">
        <f t="shared" si="9"/>
        <v>#DIV/0!</v>
      </c>
      <c r="G61" s="69"/>
      <c r="H61" s="67"/>
      <c r="I61" s="62">
        <f t="shared" si="10"/>
        <v>0</v>
      </c>
      <c r="J61" s="54" t="e">
        <f t="shared" si="11"/>
        <v>#DIV/0!</v>
      </c>
    </row>
    <row r="62" spans="1:10" ht="18">
      <c r="A62" s="14" t="s">
        <v>46</v>
      </c>
      <c r="B62" s="16">
        <v>4033</v>
      </c>
      <c r="C62" s="44"/>
      <c r="D62" s="44"/>
      <c r="E62" s="62">
        <f t="shared" si="1"/>
        <v>0</v>
      </c>
      <c r="F62" s="56" t="e">
        <f t="shared" si="9"/>
        <v>#DIV/0!</v>
      </c>
      <c r="G62" s="69"/>
      <c r="H62" s="67"/>
      <c r="I62" s="62">
        <f t="shared" si="10"/>
        <v>0</v>
      </c>
      <c r="J62" s="54" t="e">
        <f t="shared" si="11"/>
        <v>#DIV/0!</v>
      </c>
    </row>
    <row r="63" spans="1:10" ht="18">
      <c r="A63" s="17" t="s">
        <v>49</v>
      </c>
      <c r="B63" s="16">
        <v>4040</v>
      </c>
      <c r="C63" s="44"/>
      <c r="D63" s="44"/>
      <c r="E63" s="62">
        <f t="shared" si="1"/>
        <v>0</v>
      </c>
      <c r="F63" s="56" t="e">
        <f t="shared" si="9"/>
        <v>#DIV/0!</v>
      </c>
      <c r="G63" s="69"/>
      <c r="H63" s="67"/>
      <c r="I63" s="62">
        <f t="shared" si="10"/>
        <v>0</v>
      </c>
      <c r="J63" s="54" t="e">
        <f t="shared" si="11"/>
        <v>#DIV/0!</v>
      </c>
    </row>
    <row r="64" spans="1:10" ht="18">
      <c r="A64" s="132" t="s">
        <v>73</v>
      </c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1" ht="18">
      <c r="A65" s="117" t="s">
        <v>66</v>
      </c>
      <c r="B65" s="47">
        <v>5010</v>
      </c>
      <c r="C65" s="62">
        <f>C40-C41</f>
        <v>4493.370000004768</v>
      </c>
      <c r="D65" s="62">
        <f>D40-D41</f>
        <v>11695705.750000015</v>
      </c>
      <c r="E65" s="62">
        <f t="shared" si="1"/>
        <v>11691212.38000001</v>
      </c>
      <c r="F65" s="56">
        <f>(D65/C65)*100</f>
        <v>260288.06330187817</v>
      </c>
      <c r="G65" s="62">
        <f>G40-G41</f>
        <v>19161160.130000025</v>
      </c>
      <c r="H65" s="62">
        <f>H40-H41</f>
        <v>30852372.5</v>
      </c>
      <c r="I65" s="62">
        <f>H65-G65</f>
        <v>11691212.369999975</v>
      </c>
      <c r="J65" s="54">
        <f>(H65/G65)*100</f>
        <v>161.0151592632192</v>
      </c>
      <c r="K65" s="76" t="s">
        <v>89</v>
      </c>
    </row>
    <row r="66" spans="1:10" ht="18">
      <c r="A66" s="118" t="s">
        <v>67</v>
      </c>
      <c r="B66" s="12">
        <v>5011</v>
      </c>
      <c r="C66" s="62">
        <f>C65-C67</f>
        <v>4493.370000004768</v>
      </c>
      <c r="D66" s="62">
        <f>D65-D67</f>
        <v>11695705.750000015</v>
      </c>
      <c r="E66" s="62">
        <f t="shared" si="1"/>
        <v>11691212.38000001</v>
      </c>
      <c r="F66" s="56">
        <f>(D66/C66)*100</f>
        <v>260288.06330187817</v>
      </c>
      <c r="G66" s="62">
        <f>G65-G67</f>
        <v>19161160.130000025</v>
      </c>
      <c r="H66" s="62">
        <f>H65-H67</f>
        <v>30852372.5</v>
      </c>
      <c r="I66" s="62">
        <f>H66-G66</f>
        <v>11691212.369999975</v>
      </c>
      <c r="J66" s="54">
        <f>(H66/G66)*100</f>
        <v>161.0151592632192</v>
      </c>
    </row>
    <row r="67" spans="1:10" ht="18">
      <c r="A67" s="119" t="s">
        <v>68</v>
      </c>
      <c r="B67" s="12">
        <v>5012</v>
      </c>
      <c r="C67" s="62"/>
      <c r="D67" s="62"/>
      <c r="E67" s="62"/>
      <c r="F67" s="56" t="e">
        <f>(D67/C67)*100</f>
        <v>#DIV/0!</v>
      </c>
      <c r="G67" s="62"/>
      <c r="H67" s="72"/>
      <c r="I67" s="72"/>
      <c r="J67" s="54" t="e">
        <f>(H67/G67)*100</f>
        <v>#DIV/0!</v>
      </c>
    </row>
    <row r="68" spans="1:10" ht="18">
      <c r="A68" s="129" t="s">
        <v>74</v>
      </c>
      <c r="B68" s="130"/>
      <c r="C68" s="130"/>
      <c r="D68" s="130"/>
      <c r="E68" s="130"/>
      <c r="F68" s="130"/>
      <c r="G68" s="130"/>
      <c r="H68" s="130"/>
      <c r="I68" s="130"/>
      <c r="J68" s="135"/>
    </row>
    <row r="69" spans="1:10" ht="18">
      <c r="A69" s="45" t="s">
        <v>37</v>
      </c>
      <c r="B69" s="47">
        <v>6010</v>
      </c>
      <c r="C69" s="62">
        <f>C70+C71+C72+C73+C74+C75</f>
        <v>23683171.204099998</v>
      </c>
      <c r="D69" s="62">
        <f>D70+D71+D72+D73+D74+D75</f>
        <v>17891717.625299998</v>
      </c>
      <c r="E69" s="62">
        <f aca="true" t="shared" si="12" ref="E69:E75">D69-C69</f>
        <v>-5791453.5788</v>
      </c>
      <c r="F69" s="56">
        <f aca="true" t="shared" si="13" ref="F69:F75">(D69/C69)*100</f>
        <v>75.54612290351812</v>
      </c>
      <c r="G69" s="62">
        <f>G70+G71+G72+G73+G74+G75</f>
        <v>59487153.986200005</v>
      </c>
      <c r="H69" s="62">
        <f>H70+H71+H72+H73+H74+H75</f>
        <v>53272529.6858</v>
      </c>
      <c r="I69" s="62">
        <f aca="true" t="shared" si="14" ref="I69:I75">H69-G69</f>
        <v>-6214624.300400004</v>
      </c>
      <c r="J69" s="62">
        <f aca="true" t="shared" si="15" ref="J69:J75">(H69/G69)*100</f>
        <v>89.55299777521431</v>
      </c>
    </row>
    <row r="70" spans="1:10" ht="18">
      <c r="A70" s="30" t="s">
        <v>31</v>
      </c>
      <c r="B70" s="15">
        <v>6011</v>
      </c>
      <c r="C70" s="55">
        <v>0</v>
      </c>
      <c r="D70" s="55">
        <v>0</v>
      </c>
      <c r="E70" s="62">
        <f t="shared" si="12"/>
        <v>0</v>
      </c>
      <c r="F70" s="56" t="e">
        <f t="shared" si="13"/>
        <v>#DIV/0!</v>
      </c>
      <c r="G70" s="55">
        <v>0</v>
      </c>
      <c r="H70" s="55">
        <v>0</v>
      </c>
      <c r="I70" s="62">
        <f t="shared" si="14"/>
        <v>0</v>
      </c>
      <c r="J70" s="62" t="e">
        <f t="shared" si="15"/>
        <v>#DIV/0!</v>
      </c>
    </row>
    <row r="71" spans="1:10" ht="18">
      <c r="A71" s="20" t="s">
        <v>32</v>
      </c>
      <c r="B71" s="15">
        <v>6012</v>
      </c>
      <c r="C71" s="103">
        <f>C29*1.5%</f>
        <v>853224.1880999998</v>
      </c>
      <c r="D71" s="103">
        <f>D29*1.5%</f>
        <v>643338.1773</v>
      </c>
      <c r="E71" s="62">
        <f t="shared" si="12"/>
        <v>-209886.0107999998</v>
      </c>
      <c r="F71" s="56">
        <f t="shared" si="13"/>
        <v>75.40083676397127</v>
      </c>
      <c r="G71" s="103">
        <f>G29*1.5%</f>
        <v>2155358.9874</v>
      </c>
      <c r="H71" s="103">
        <f>H29*1.5%</f>
        <v>1945472.9766</v>
      </c>
      <c r="I71" s="62">
        <f t="shared" si="14"/>
        <v>-209886.01080000005</v>
      </c>
      <c r="J71" s="62">
        <f t="shared" si="15"/>
        <v>90.26213210759919</v>
      </c>
    </row>
    <row r="72" spans="1:10" ht="18">
      <c r="A72" s="20" t="s">
        <v>33</v>
      </c>
      <c r="B72" s="15">
        <v>6013</v>
      </c>
      <c r="C72" s="103">
        <f>21150+56152</f>
        <v>77302</v>
      </c>
      <c r="D72" s="103">
        <v>92694.72</v>
      </c>
      <c r="E72" s="62">
        <f t="shared" si="12"/>
        <v>15392.720000000001</v>
      </c>
      <c r="F72" s="56">
        <f t="shared" si="13"/>
        <v>119.9124472846757</v>
      </c>
      <c r="G72" s="103">
        <v>250505</v>
      </c>
      <c r="H72" s="103">
        <v>92694.72</v>
      </c>
      <c r="I72" s="62">
        <f t="shared" si="14"/>
        <v>-157810.28</v>
      </c>
      <c r="J72" s="62">
        <f t="shared" si="15"/>
        <v>37.0031416538592</v>
      </c>
    </row>
    <row r="73" spans="1:10" ht="18">
      <c r="A73" s="20" t="s">
        <v>34</v>
      </c>
      <c r="B73" s="15">
        <v>6014</v>
      </c>
      <c r="C73" s="103">
        <f>C29*18%</f>
        <v>10238690.257199999</v>
      </c>
      <c r="D73" s="103">
        <f>D29*18%</f>
        <v>7720058.127599999</v>
      </c>
      <c r="E73" s="62">
        <f t="shared" si="12"/>
        <v>-2518632.1295999996</v>
      </c>
      <c r="F73" s="56">
        <f t="shared" si="13"/>
        <v>75.40083676397124</v>
      </c>
      <c r="G73" s="103">
        <f>G29*18%</f>
        <v>25864307.8488</v>
      </c>
      <c r="H73" s="103">
        <f>H29*18%</f>
        <v>23345675.7192</v>
      </c>
      <c r="I73" s="62">
        <f t="shared" si="14"/>
        <v>-2518632.1295999996</v>
      </c>
      <c r="J73" s="62">
        <f t="shared" si="15"/>
        <v>90.26213210759919</v>
      </c>
    </row>
    <row r="74" spans="1:10" ht="31.5">
      <c r="A74" s="51" t="s">
        <v>35</v>
      </c>
      <c r="B74" s="15">
        <v>6015</v>
      </c>
      <c r="C74" s="104">
        <f>C29*22%</f>
        <v>12513954.758799998</v>
      </c>
      <c r="D74" s="104">
        <f>D29*22%</f>
        <v>9435626.6004</v>
      </c>
      <c r="E74" s="62">
        <f t="shared" si="12"/>
        <v>-3078328.1583999973</v>
      </c>
      <c r="F74" s="56">
        <f t="shared" si="13"/>
        <v>75.40083676397127</v>
      </c>
      <c r="G74" s="104">
        <f>G30</f>
        <v>31216982.150000002</v>
      </c>
      <c r="H74" s="104">
        <f>H30</f>
        <v>27888686.270000003</v>
      </c>
      <c r="I74" s="62">
        <f t="shared" si="14"/>
        <v>-3328295.879999999</v>
      </c>
      <c r="J74" s="62">
        <f t="shared" si="15"/>
        <v>89.33818822073421</v>
      </c>
    </row>
    <row r="75" spans="1:10" ht="18">
      <c r="A75" s="22" t="s">
        <v>36</v>
      </c>
      <c r="B75" s="15">
        <v>6016</v>
      </c>
      <c r="C75" s="66"/>
      <c r="D75" s="66"/>
      <c r="E75" s="62">
        <f t="shared" si="12"/>
        <v>0</v>
      </c>
      <c r="F75" s="56" t="e">
        <f t="shared" si="13"/>
        <v>#DIV/0!</v>
      </c>
      <c r="G75" s="66"/>
      <c r="H75" s="67"/>
      <c r="I75" s="62">
        <f t="shared" si="14"/>
        <v>0</v>
      </c>
      <c r="J75" s="62" t="e">
        <f t="shared" si="15"/>
        <v>#DIV/0!</v>
      </c>
    </row>
    <row r="76" spans="1:10" ht="18">
      <c r="A76" s="136" t="s">
        <v>75</v>
      </c>
      <c r="B76" s="137"/>
      <c r="C76" s="137"/>
      <c r="D76" s="137"/>
      <c r="E76" s="137"/>
      <c r="F76" s="137"/>
      <c r="G76" s="137"/>
      <c r="H76" s="137"/>
      <c r="I76" s="137"/>
      <c r="J76" s="138"/>
    </row>
    <row r="77" spans="1:10" ht="18">
      <c r="A77" s="32" t="s">
        <v>58</v>
      </c>
      <c r="B77" s="15">
        <v>7010</v>
      </c>
      <c r="C77" s="42"/>
      <c r="D77" s="42"/>
      <c r="E77" s="42"/>
      <c r="F77" s="42"/>
      <c r="G77" s="42">
        <v>1332</v>
      </c>
      <c r="H77" s="42">
        <v>1332</v>
      </c>
      <c r="I77" s="42">
        <v>1332</v>
      </c>
      <c r="J77" s="24">
        <v>1296</v>
      </c>
    </row>
    <row r="78" spans="1:11" ht="18">
      <c r="A78" s="32"/>
      <c r="B78" s="15"/>
      <c r="C78" s="42"/>
      <c r="D78" s="42"/>
      <c r="E78" s="42"/>
      <c r="F78" s="42"/>
      <c r="G78" s="42" t="s">
        <v>76</v>
      </c>
      <c r="H78" s="42" t="s">
        <v>78</v>
      </c>
      <c r="I78" s="42" t="s">
        <v>79</v>
      </c>
      <c r="J78" s="24" t="s">
        <v>77</v>
      </c>
      <c r="K78" s="74" t="s">
        <v>93</v>
      </c>
    </row>
    <row r="79" spans="1:10" ht="18">
      <c r="A79" s="32" t="s">
        <v>41</v>
      </c>
      <c r="B79" s="16">
        <v>7011</v>
      </c>
      <c r="C79" s="44"/>
      <c r="D79" s="44"/>
      <c r="E79" s="44"/>
      <c r="F79" s="44"/>
      <c r="G79" s="106">
        <v>562004000</v>
      </c>
      <c r="H79" s="105">
        <v>519937000</v>
      </c>
      <c r="I79" s="9">
        <v>524627000</v>
      </c>
      <c r="J79" s="9">
        <v>523045000</v>
      </c>
    </row>
    <row r="80" spans="1:10" ht="18">
      <c r="A80" s="32" t="s">
        <v>59</v>
      </c>
      <c r="B80" s="16">
        <v>7012</v>
      </c>
      <c r="C80" s="44"/>
      <c r="D80" s="44"/>
      <c r="E80" s="44"/>
      <c r="F80" s="44"/>
      <c r="G80" s="69"/>
      <c r="H80" s="67"/>
      <c r="I80" s="67"/>
      <c r="J80" s="10"/>
    </row>
    <row r="81" spans="1:10" ht="18">
      <c r="A81" s="32" t="s">
        <v>60</v>
      </c>
      <c r="B81" s="16">
        <v>7013</v>
      </c>
      <c r="C81" s="44"/>
      <c r="D81" s="44"/>
      <c r="E81" s="44"/>
      <c r="F81" s="44"/>
      <c r="G81" s="69"/>
      <c r="H81" s="67"/>
      <c r="I81" s="67"/>
      <c r="J81" s="10"/>
    </row>
    <row r="82" spans="1:10" ht="18">
      <c r="A82" s="32" t="s">
        <v>61</v>
      </c>
      <c r="B82" s="36">
        <v>7016</v>
      </c>
      <c r="C82" s="73"/>
      <c r="D82" s="73"/>
      <c r="E82" s="73"/>
      <c r="F82" s="73"/>
      <c r="G82" s="63"/>
      <c r="H82" s="64"/>
      <c r="I82" s="64"/>
      <c r="J82" s="37"/>
    </row>
    <row r="83" spans="1:10" ht="18">
      <c r="A83" s="32" t="s">
        <v>62</v>
      </c>
      <c r="B83" s="12">
        <v>7020</v>
      </c>
      <c r="C83" s="62"/>
      <c r="D83" s="62"/>
      <c r="E83" s="62"/>
      <c r="F83" s="62"/>
      <c r="G83" s="62"/>
      <c r="H83" s="10"/>
      <c r="I83" s="72"/>
      <c r="J83" s="33"/>
    </row>
    <row r="84" spans="1:10" ht="18">
      <c r="A84" s="34"/>
      <c r="B84" s="31"/>
      <c r="C84" s="91"/>
      <c r="D84" s="91"/>
      <c r="E84" s="91"/>
      <c r="F84" s="91"/>
      <c r="G84" s="91"/>
      <c r="H84" s="92"/>
      <c r="I84" s="92"/>
      <c r="J84" s="35"/>
    </row>
    <row r="85" spans="1:10" ht="18">
      <c r="A85" s="25" t="s">
        <v>94</v>
      </c>
      <c r="B85" s="26"/>
      <c r="C85" s="52"/>
      <c r="D85" s="27"/>
      <c r="E85" s="139"/>
      <c r="F85" s="139"/>
      <c r="G85" s="125" t="s">
        <v>100</v>
      </c>
      <c r="H85" s="126"/>
      <c r="I85" s="93"/>
      <c r="J85" s="28"/>
    </row>
    <row r="86" spans="1:7" ht="18">
      <c r="A86" s="29"/>
      <c r="B86" s="41"/>
      <c r="C86" s="40" t="s">
        <v>9</v>
      </c>
      <c r="D86" s="121" t="s">
        <v>10</v>
      </c>
      <c r="E86" s="121"/>
      <c r="F86" s="121"/>
      <c r="G86" s="2"/>
    </row>
    <row r="87" spans="1:8" ht="18">
      <c r="A87" s="29" t="s">
        <v>95</v>
      </c>
      <c r="B87" s="41"/>
      <c r="C87" s="53"/>
      <c r="D87" s="41"/>
      <c r="E87" s="122"/>
      <c r="F87" s="122"/>
      <c r="G87" s="123" t="s">
        <v>101</v>
      </c>
      <c r="H87" s="124"/>
    </row>
    <row r="88" spans="1:7" ht="18">
      <c r="A88" s="29"/>
      <c r="B88" s="41"/>
      <c r="C88" s="40" t="s">
        <v>9</v>
      </c>
      <c r="D88" s="121" t="s">
        <v>10</v>
      </c>
      <c r="E88" s="121"/>
      <c r="F88" s="121"/>
      <c r="G88" s="2"/>
    </row>
    <row r="89" spans="1:7" ht="18">
      <c r="A89"/>
      <c r="B89"/>
      <c r="C89" s="61"/>
      <c r="D89" s="61"/>
      <c r="E89" s="61"/>
      <c r="F89" s="61"/>
      <c r="G89" s="61"/>
    </row>
    <row r="90" spans="1:7" ht="18">
      <c r="A90"/>
      <c r="B90"/>
      <c r="C90" s="61"/>
      <c r="D90" s="61"/>
      <c r="E90" s="61"/>
      <c r="F90" s="61"/>
      <c r="G90" s="61"/>
    </row>
    <row r="91" spans="1:7" ht="18">
      <c r="A91"/>
      <c r="B91"/>
      <c r="C91" s="61"/>
      <c r="D91" s="61"/>
      <c r="E91" s="61"/>
      <c r="F91" s="61"/>
      <c r="G91" s="61"/>
    </row>
  </sheetData>
  <sheetProtection/>
  <mergeCells count="23">
    <mergeCell ref="K47:W52"/>
    <mergeCell ref="A9:A10"/>
    <mergeCell ref="B9:B10"/>
    <mergeCell ref="G9:J9"/>
    <mergeCell ref="C9:F9"/>
    <mergeCell ref="A12:J12"/>
    <mergeCell ref="A28:J28"/>
    <mergeCell ref="D88:F88"/>
    <mergeCell ref="A76:J76"/>
    <mergeCell ref="E85:F85"/>
    <mergeCell ref="D86:F86"/>
    <mergeCell ref="E87:F87"/>
    <mergeCell ref="G87:H87"/>
    <mergeCell ref="G85:H85"/>
    <mergeCell ref="A64:J64"/>
    <mergeCell ref="A53:J53"/>
    <mergeCell ref="A68:J68"/>
    <mergeCell ref="E2:J2"/>
    <mergeCell ref="A4:J4"/>
    <mergeCell ref="A5:J5"/>
    <mergeCell ref="A6:J6"/>
    <mergeCell ref="A42:J42"/>
    <mergeCell ref="A7:J7"/>
  </mergeCells>
  <printOptions/>
  <pageMargins left="0.6299212598425197" right="0.03937007874015748" top="0.35433070866141736" bottom="0.35433070866141736" header="0" footer="0"/>
  <pageSetup fitToHeight="4" horizontalDpi="600" verticalDpi="600" orientation="landscape" paperSize="9" scale="57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2022-11-04T08:11:24Z</cp:lastPrinted>
  <dcterms:created xsi:type="dcterms:W3CDTF">2015-06-05T18:19:34Z</dcterms:created>
  <dcterms:modified xsi:type="dcterms:W3CDTF">2023-02-28T11:56:13Z</dcterms:modified>
  <cp:category/>
  <cp:version/>
  <cp:contentType/>
  <cp:contentStatus/>
</cp:coreProperties>
</file>