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8808" tabRatio="787"/>
  </bookViews>
  <sheets>
    <sheet name="Додаток 1 Фін.план" sheetId="16" r:id="rId1"/>
    <sheet name="Додаток 2 Фін.звіт" sheetId="7" r:id="rId2"/>
  </sheets>
  <definedNames>
    <definedName name="_xlnm.Print_Area" localSheetId="0">'Додаток 1 Фін.план'!$A$1:$I$99</definedName>
    <definedName name="_xlnm.Print_Area" localSheetId="1">'Додаток 2 Фін.звіт'!$A$1:$J$92</definedName>
  </definedNames>
  <calcPr calcId="152511"/>
</workbook>
</file>

<file path=xl/calcChain.xml><?xml version="1.0" encoding="utf-8"?>
<calcChain xmlns="http://schemas.openxmlformats.org/spreadsheetml/2006/main">
  <c r="J80" i="7" l="1"/>
  <c r="J81" i="7"/>
  <c r="J82" i="7"/>
  <c r="J83" i="7"/>
  <c r="J79" i="7"/>
  <c r="E33" i="16"/>
  <c r="H22" i="7" s="1"/>
  <c r="D25" i="7"/>
  <c r="H36" i="16"/>
  <c r="E36" i="16" s="1"/>
  <c r="H25" i="7" s="1"/>
  <c r="D21" i="7"/>
  <c r="I38" i="16"/>
  <c r="G50" i="7"/>
  <c r="H44" i="7"/>
  <c r="H30" i="7"/>
  <c r="H32" i="7"/>
  <c r="H33" i="7"/>
  <c r="H34" i="7"/>
  <c r="H35" i="7"/>
  <c r="H36" i="7"/>
  <c r="H37" i="7"/>
  <c r="I37" i="7" s="1"/>
  <c r="H38" i="7"/>
  <c r="H29" i="7"/>
  <c r="C65" i="7"/>
  <c r="D48" i="7"/>
  <c r="D49" i="7"/>
  <c r="D51" i="7"/>
  <c r="E51" i="7" s="1"/>
  <c r="D45" i="7"/>
  <c r="D44" i="7"/>
  <c r="D39" i="7"/>
  <c r="D20" i="7"/>
  <c r="D22" i="7"/>
  <c r="D27" i="7"/>
  <c r="D19" i="7"/>
  <c r="D15" i="7"/>
  <c r="D14" i="7"/>
  <c r="E50" i="16"/>
  <c r="H39" i="7" s="1"/>
  <c r="I39" i="7" s="1"/>
  <c r="G38" i="16"/>
  <c r="E38" i="16" s="1"/>
  <c r="H27" i="7" s="1"/>
  <c r="G32" i="16"/>
  <c r="G31" i="16"/>
  <c r="H47" i="16"/>
  <c r="I47" i="16" s="1"/>
  <c r="D36" i="7" s="1"/>
  <c r="F85" i="16"/>
  <c r="E85" i="16"/>
  <c r="E60" i="16"/>
  <c r="G49" i="7" s="1"/>
  <c r="I49" i="7" s="1"/>
  <c r="E59" i="16"/>
  <c r="G48" i="7" s="1"/>
  <c r="I58" i="16"/>
  <c r="D47" i="7" s="1"/>
  <c r="I61" i="16"/>
  <c r="D50" i="7" s="1"/>
  <c r="E42" i="16"/>
  <c r="H31" i="7" s="1"/>
  <c r="I43" i="16"/>
  <c r="D32" i="7" s="1"/>
  <c r="E32" i="7" s="1"/>
  <c r="F29" i="16"/>
  <c r="F51" i="16" s="1"/>
  <c r="C46" i="7"/>
  <c r="G52" i="7"/>
  <c r="G51" i="7"/>
  <c r="G47" i="7"/>
  <c r="G45" i="7"/>
  <c r="G44" i="7"/>
  <c r="G22" i="7"/>
  <c r="G18" i="7" s="1"/>
  <c r="H73" i="7"/>
  <c r="H71" i="7"/>
  <c r="H52" i="7"/>
  <c r="H51" i="7"/>
  <c r="D71" i="7"/>
  <c r="D73" i="7"/>
  <c r="I84" i="16"/>
  <c r="I82" i="16"/>
  <c r="I62" i="16"/>
  <c r="I63" i="16"/>
  <c r="D52" i="7" s="1"/>
  <c r="G74" i="7"/>
  <c r="G73" i="7"/>
  <c r="G71" i="7"/>
  <c r="H80" i="7"/>
  <c r="H81" i="7"/>
  <c r="H82" i="7"/>
  <c r="H83" i="7"/>
  <c r="H79" i="7"/>
  <c r="G43" i="16"/>
  <c r="G57" i="16"/>
  <c r="G45" i="16"/>
  <c r="H45" i="16" s="1"/>
  <c r="G50" i="16"/>
  <c r="G47" i="16"/>
  <c r="G49" i="16"/>
  <c r="G48" i="16"/>
  <c r="G42" i="16"/>
  <c r="H42" i="16" s="1"/>
  <c r="G44" i="16"/>
  <c r="G41" i="16"/>
  <c r="G40" i="16"/>
  <c r="H40" i="16" s="1"/>
  <c r="G46" i="16"/>
  <c r="I46" i="16" s="1"/>
  <c r="D35" i="7" s="1"/>
  <c r="G25" i="16"/>
  <c r="E25" i="16" s="1"/>
  <c r="H14" i="7" s="1"/>
  <c r="G28" i="16"/>
  <c r="H28" i="16" s="1"/>
  <c r="H27" i="16" s="1"/>
  <c r="G43" i="7"/>
  <c r="H47" i="7"/>
  <c r="G80" i="7"/>
  <c r="G81" i="7"/>
  <c r="G82" i="7"/>
  <c r="G83" i="7"/>
  <c r="G79" i="7"/>
  <c r="G72" i="7"/>
  <c r="G75" i="7"/>
  <c r="G70" i="7"/>
  <c r="H45" i="7"/>
  <c r="I45" i="7"/>
  <c r="I33" i="7"/>
  <c r="G86" i="16"/>
  <c r="G83" i="16"/>
  <c r="G81" i="16"/>
  <c r="F71" i="7"/>
  <c r="E52" i="7"/>
  <c r="D54" i="16"/>
  <c r="F54" i="16"/>
  <c r="G54" i="16"/>
  <c r="H54" i="16"/>
  <c r="I54" i="16"/>
  <c r="E55" i="16"/>
  <c r="E56" i="16"/>
  <c r="D57" i="16"/>
  <c r="F57" i="16"/>
  <c r="J50" i="7"/>
  <c r="D29" i="16"/>
  <c r="C54" i="7"/>
  <c r="D27" i="16"/>
  <c r="F80" i="16"/>
  <c r="D80" i="16"/>
  <c r="E78" i="16"/>
  <c r="E74" i="16"/>
  <c r="E73" i="16"/>
  <c r="E72" i="16"/>
  <c r="E71" i="16"/>
  <c r="I70" i="16"/>
  <c r="H70" i="16"/>
  <c r="G70" i="16"/>
  <c r="F70" i="16"/>
  <c r="F52" i="16" s="1"/>
  <c r="D70" i="16"/>
  <c r="C70" i="16"/>
  <c r="E69" i="16"/>
  <c r="E68" i="16"/>
  <c r="E67" i="16"/>
  <c r="E66" i="16"/>
  <c r="I65" i="16"/>
  <c r="H65" i="16"/>
  <c r="G65" i="16"/>
  <c r="E65" i="16" s="1"/>
  <c r="F65" i="16"/>
  <c r="D65" i="16"/>
  <c r="C65" i="16"/>
  <c r="F24" i="16"/>
  <c r="D24" i="16"/>
  <c r="D51" i="16"/>
  <c r="I63" i="7"/>
  <c r="I62" i="7"/>
  <c r="I61" i="7"/>
  <c r="I60" i="7"/>
  <c r="I58" i="7"/>
  <c r="I57" i="7"/>
  <c r="I56" i="7"/>
  <c r="I55" i="7"/>
  <c r="E63" i="7"/>
  <c r="E62" i="7"/>
  <c r="E61" i="7"/>
  <c r="E60" i="7"/>
  <c r="E58" i="7"/>
  <c r="E57" i="7"/>
  <c r="E56" i="7"/>
  <c r="E55" i="7"/>
  <c r="E45" i="7"/>
  <c r="C69" i="7"/>
  <c r="H59" i="7"/>
  <c r="G59" i="7"/>
  <c r="G41" i="7" s="1"/>
  <c r="D59" i="7"/>
  <c r="C59" i="7"/>
  <c r="H54" i="7"/>
  <c r="I54" i="7" s="1"/>
  <c r="G54" i="7"/>
  <c r="D54" i="7"/>
  <c r="C43" i="7"/>
  <c r="E70" i="16"/>
  <c r="E49" i="7"/>
  <c r="F27" i="16"/>
  <c r="J48" i="7"/>
  <c r="E54" i="7"/>
  <c r="E59" i="7"/>
  <c r="E54" i="16"/>
  <c r="E44" i="7"/>
  <c r="H43" i="7"/>
  <c r="I43" i="7"/>
  <c r="D43" i="7"/>
  <c r="J36" i="7"/>
  <c r="J32" i="7"/>
  <c r="J38" i="7"/>
  <c r="I30" i="7"/>
  <c r="I47" i="7"/>
  <c r="E47" i="7"/>
  <c r="I38" i="7"/>
  <c r="J30" i="7"/>
  <c r="J29" i="7"/>
  <c r="I29" i="7"/>
  <c r="C76" i="16"/>
  <c r="C77" i="16" s="1"/>
  <c r="E71" i="7"/>
  <c r="E39" i="7"/>
  <c r="G69" i="7"/>
  <c r="J49" i="7"/>
  <c r="I34" i="7"/>
  <c r="J34" i="7"/>
  <c r="J39" i="7"/>
  <c r="I35" i="7"/>
  <c r="J33" i="7"/>
  <c r="I36" i="7"/>
  <c r="G27" i="16"/>
  <c r="J73" i="7"/>
  <c r="I73" i="7"/>
  <c r="I71" i="7"/>
  <c r="J71" i="7"/>
  <c r="E50" i="7"/>
  <c r="I50" i="7"/>
  <c r="F14" i="7"/>
  <c r="I32" i="7"/>
  <c r="I48" i="7"/>
  <c r="I25" i="7"/>
  <c r="E19" i="7"/>
  <c r="E43" i="7"/>
  <c r="H41" i="7"/>
  <c r="J41" i="7" s="1"/>
  <c r="I52" i="7"/>
  <c r="F39" i="7"/>
  <c r="E73" i="7"/>
  <c r="F73" i="7"/>
  <c r="F32" i="7"/>
  <c r="E22" i="7"/>
  <c r="G16" i="7"/>
  <c r="E48" i="7"/>
  <c r="E14" i="7"/>
  <c r="C13" i="7"/>
  <c r="E21" i="7"/>
  <c r="C18" i="7"/>
  <c r="E27" i="7"/>
  <c r="I46" i="7"/>
  <c r="I41" i="7"/>
  <c r="C16" i="7"/>
  <c r="C40" i="7" s="1"/>
  <c r="C41" i="7"/>
  <c r="H57" i="16"/>
  <c r="I57" i="16"/>
  <c r="G24" i="16"/>
  <c r="H15" i="7"/>
  <c r="I15" i="7" s="1"/>
  <c r="G15" i="7"/>
  <c r="H13" i="7"/>
  <c r="G13" i="7"/>
  <c r="D13" i="7"/>
  <c r="E13" i="7" s="1"/>
  <c r="H24" i="16"/>
  <c r="F13" i="7"/>
  <c r="E15" i="7"/>
  <c r="E26" i="16"/>
  <c r="E24" i="16"/>
  <c r="I24" i="16"/>
  <c r="I51" i="16" s="1"/>
  <c r="G19" i="7"/>
  <c r="G29" i="16"/>
  <c r="E30" i="16"/>
  <c r="H19" i="7" s="1"/>
  <c r="E28" i="16"/>
  <c r="H17" i="7" s="1"/>
  <c r="I28" i="16"/>
  <c r="I27" i="16" s="1"/>
  <c r="G40" i="7"/>
  <c r="G65" i="7"/>
  <c r="G66" i="7" s="1"/>
  <c r="I27" i="7"/>
  <c r="D24" i="7"/>
  <c r="E35" i="16"/>
  <c r="H24" i="7"/>
  <c r="D26" i="7"/>
  <c r="E37" i="16"/>
  <c r="H26" i="7" s="1"/>
  <c r="J26" i="7"/>
  <c r="I26" i="7"/>
  <c r="D23" i="7"/>
  <c r="E23" i="7"/>
  <c r="E34" i="16"/>
  <c r="H23" i="7" s="1"/>
  <c r="I23" i="7" s="1"/>
  <c r="I29" i="16"/>
  <c r="F23" i="7"/>
  <c r="F76" i="16" l="1"/>
  <c r="F36" i="7"/>
  <c r="E36" i="7"/>
  <c r="E24" i="7"/>
  <c r="J23" i="7"/>
  <c r="E26" i="7"/>
  <c r="H16" i="7"/>
  <c r="I17" i="7"/>
  <c r="G51" i="16"/>
  <c r="J17" i="7"/>
  <c r="D52" i="16"/>
  <c r="I14" i="7"/>
  <c r="J14" i="7"/>
  <c r="I51" i="7"/>
  <c r="D17" i="7"/>
  <c r="E20" i="7"/>
  <c r="D18" i="7"/>
  <c r="F20" i="7"/>
  <c r="I13" i="7"/>
  <c r="J13" i="7"/>
  <c r="E35" i="7"/>
  <c r="D46" i="7"/>
  <c r="H31" i="16"/>
  <c r="E25" i="7"/>
  <c r="I59" i="7"/>
  <c r="G80" i="16"/>
  <c r="H81" i="16"/>
  <c r="I22" i="7"/>
  <c r="J24" i="7"/>
  <c r="I24" i="7"/>
  <c r="I19" i="7"/>
  <c r="E57" i="16"/>
  <c r="E27" i="16"/>
  <c r="D76" i="16"/>
  <c r="D77" i="16" s="1"/>
  <c r="I83" i="16"/>
  <c r="G85" i="16"/>
  <c r="H49" i="16"/>
  <c r="I49" i="16"/>
  <c r="D38" i="7" s="1"/>
  <c r="G52" i="16"/>
  <c r="I31" i="7"/>
  <c r="J31" i="7"/>
  <c r="H41" i="16"/>
  <c r="H85" i="16" s="1"/>
  <c r="D74" i="7" s="1"/>
  <c r="I44" i="7"/>
  <c r="I42" i="16"/>
  <c r="D31" i="7" s="1"/>
  <c r="H48" i="16"/>
  <c r="I48" i="16" s="1"/>
  <c r="D37" i="7" s="1"/>
  <c r="H83" i="16"/>
  <c r="I45" i="16"/>
  <c r="D34" i="7" s="1"/>
  <c r="H44" i="16"/>
  <c r="I44" i="16" s="1"/>
  <c r="D33" i="7" s="1"/>
  <c r="H32" i="16"/>
  <c r="E32" i="16" s="1"/>
  <c r="H21" i="7" s="1"/>
  <c r="H86" i="16"/>
  <c r="H75" i="7" s="1"/>
  <c r="I40" i="16"/>
  <c r="I75" i="7" l="1"/>
  <c r="I21" i="7"/>
  <c r="J21" i="7"/>
  <c r="E52" i="16"/>
  <c r="E37" i="7"/>
  <c r="E33" i="7"/>
  <c r="E74" i="7"/>
  <c r="F74" i="7"/>
  <c r="F38" i="7"/>
  <c r="E38" i="7"/>
  <c r="H80" i="16"/>
  <c r="D70" i="7"/>
  <c r="H29" i="16"/>
  <c r="D16" i="7"/>
  <c r="F17" i="7"/>
  <c r="E17" i="7"/>
  <c r="I81" i="16"/>
  <c r="E31" i="7"/>
  <c r="E46" i="7"/>
  <c r="G76" i="16"/>
  <c r="G77" i="16" s="1"/>
  <c r="J16" i="7"/>
  <c r="I16" i="7"/>
  <c r="D29" i="7"/>
  <c r="I52" i="16"/>
  <c r="I76" i="16" s="1"/>
  <c r="I77" i="16" s="1"/>
  <c r="H70" i="7"/>
  <c r="E18" i="7"/>
  <c r="F18" i="7"/>
  <c r="E34" i="7"/>
  <c r="F34" i="7"/>
  <c r="I41" i="16"/>
  <c r="D75" i="7"/>
  <c r="I86" i="16"/>
  <c r="D72" i="7"/>
  <c r="H72" i="7"/>
  <c r="H74" i="7"/>
  <c r="H52" i="16"/>
  <c r="E31" i="16"/>
  <c r="H20" i="7" s="1"/>
  <c r="F77" i="16"/>
  <c r="F16" i="7" l="1"/>
  <c r="E16" i="7"/>
  <c r="D40" i="7"/>
  <c r="H51" i="16"/>
  <c r="E29" i="16"/>
  <c r="D30" i="7"/>
  <c r="I85" i="16"/>
  <c r="I80" i="16" s="1"/>
  <c r="E72" i="7"/>
  <c r="E70" i="7"/>
  <c r="D69" i="7"/>
  <c r="J74" i="7"/>
  <c r="I74" i="7"/>
  <c r="E75" i="7"/>
  <c r="I72" i="7"/>
  <c r="D41" i="7"/>
  <c r="F29" i="7"/>
  <c r="E29" i="7"/>
  <c r="J20" i="7"/>
  <c r="I20" i="7"/>
  <c r="H18" i="7"/>
  <c r="I70" i="7"/>
  <c r="H69" i="7"/>
  <c r="F41" i="7" l="1"/>
  <c r="E41" i="7"/>
  <c r="E69" i="7"/>
  <c r="F69" i="7"/>
  <c r="J18" i="7"/>
  <c r="I18" i="7"/>
  <c r="H40" i="7"/>
  <c r="E30" i="7"/>
  <c r="F30" i="7"/>
  <c r="F40" i="7"/>
  <c r="E40" i="7"/>
  <c r="D65" i="7"/>
  <c r="I69" i="7"/>
  <c r="J69" i="7"/>
  <c r="H76" i="16"/>
  <c r="E51" i="16"/>
  <c r="F65" i="7" l="1"/>
  <c r="D66" i="7"/>
  <c r="E65" i="7"/>
  <c r="H77" i="16"/>
  <c r="E76" i="16"/>
  <c r="E77" i="16" s="1"/>
  <c r="I40" i="7"/>
  <c r="H65" i="7"/>
  <c r="J40" i="7"/>
  <c r="E66" i="7" l="1"/>
  <c r="F66" i="7"/>
  <c r="J65" i="7"/>
  <c r="H66" i="7"/>
  <c r="I65" i="7"/>
  <c r="I66" i="7" l="1"/>
  <c r="J66" i="7"/>
</calcChain>
</file>

<file path=xl/sharedStrings.xml><?xml version="1.0" encoding="utf-8"?>
<sst xmlns="http://schemas.openxmlformats.org/spreadsheetml/2006/main" count="233" uniqueCount="136">
  <si>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</si>
  <si>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</si>
  <si>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</si>
  <si>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</si>
  <si>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</si>
  <si>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</si>
  <si>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</si>
  <si>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</si>
  <si>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</si>
  <si>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</si>
  <si>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</si>
  <si>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</si>
  <si>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</si>
  <si>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</si>
  <si>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</si>
  <si>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</si>
  <si>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</si>
  <si>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</si>
  <si>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</si>
  <si>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</si>
  <si>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</si>
  <si>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</si>
  <si>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</si>
  <si>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</si>
  <si>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</si>
  <si>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</si>
  <si>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</si>
  <si>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</si>
  <si>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</si>
  <si>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</si>
  <si>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</si>
  <si>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</si>
  <si>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</si>
  <si>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</si>
  <si>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</si>
  <si>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</si>
  <si>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</si>
  <si>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</si>
  <si>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</si>
  <si>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</si>
  <si>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</si>
  <si>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</si>
  <si>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</si>
  <si>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</si>
  <si>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</si>
  <si>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</si>
  <si>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</si>
  <si>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</si>
  <si>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</si>
  <si>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</si>
  <si>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</si>
  <si>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</si>
  <si>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</si>
  <si>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</si>
  <si>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</si>
  <si>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</si>
  <si>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</si>
  <si>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</si>
  <si>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</si>
  <si>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</si>
  <si>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</si>
  <si>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</si>
  <si>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</si>
  <si>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</si>
  <si>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</si>
  <si>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</si>
  <si>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</si>
  <si>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</si>
  <si>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</si>
  <si>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</si>
  <si>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</si>
  <si>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</si>
  <si>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</si>
  <si>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</si>
  <si>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</si>
  <si>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</si>
  <si>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</si>
  <si>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</si>
  <si>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</si>
  <si>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</si>
  <si>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</si>
  <si>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</si>
  <si>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</si>
  <si>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</si>
  <si>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</si>
  <si>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</si>
  <si>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</si>
  <si>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</si>
  <si>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</si>
  <si>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</si>
  <si>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</si>
  <si>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</si>
  <si>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</si>
  <si>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</si>
  <si>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</si>
  <si>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</si>
  <si>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</si>
  <si>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</si>
  <si>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</si>
  <si>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</si>
  <si>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</si>
  <si>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</si>
  <si>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</si>
  <si>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</si>
  <si>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>Інші надходження (дохід)</t>
  </si>
  <si>
    <t xml:space="preserve">Надходження (дохід) за рахунок коштів бюджету міста </t>
  </si>
  <si>
    <t>1021</t>
  </si>
  <si>
    <t>Х</t>
  </si>
  <si>
    <t>Інші надходження (дохід) (розписати)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</si>
  <si>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</si>
  <si>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</si>
  <si>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</si>
  <si>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</si>
  <si>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</si>
  <si>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</si>
  <si>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</si>
  <si>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>основні засоби</t>
  </si>
  <si>
    <t>інші необоротни матеріальни активи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</si>
  <si>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</si>
  <si>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</si>
  <si>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Інші надходження (дохід) (%-ти за депозитами)</t>
  </si>
  <si>
    <t>Інші надходження (дохід) (цільовий інший операц.дохід)</t>
  </si>
  <si>
    <t>Микола ТУРЧИН</t>
  </si>
  <si>
    <t>Місцезнаходження              м. Дніпро, вул. Канатна, 17</t>
  </si>
  <si>
    <t>Телефон             056-375-71-01</t>
  </si>
  <si>
    <t xml:space="preserve">КНП "Міська клінічна лікарня № 21 ім. проф. Є.Г.Попкової" ДМР </t>
  </si>
  <si>
    <t>Марина ОРЛЯНСЬКА</t>
  </si>
  <si>
    <t>Факт минулого року</t>
  </si>
  <si>
    <t>Олександра БОДНЯ</t>
  </si>
  <si>
    <r>
      <t xml:space="preserve">на </t>
    </r>
    <r>
      <rPr>
        <u/>
        <sz val="13.5"/>
        <rFont val="Times New Roman"/>
        <family val="1"/>
        <charset val="204"/>
      </rPr>
      <t>31 грудня 2022</t>
    </r>
    <r>
      <rPr>
        <sz val="13.5"/>
        <rFont val="Times New Roman"/>
        <family val="1"/>
        <charset val="204"/>
      </rPr>
      <t xml:space="preserve"> року</t>
    </r>
  </si>
  <si>
    <r>
      <t>за 4</t>
    </r>
    <r>
      <rPr>
        <u/>
        <sz val="13.5"/>
        <rFont val="Times New Roman"/>
        <family val="1"/>
        <charset val="204"/>
      </rPr>
      <t xml:space="preserve"> квартал 2022 р.</t>
    </r>
    <r>
      <rPr>
        <sz val="13.5"/>
        <rFont val="Times New Roman"/>
        <family val="1"/>
        <charset val="204"/>
      </rPr>
      <t xml:space="preserve">  (квартал, рік)</t>
    </r>
  </si>
  <si>
    <t>Середньооблікова кількість штатних працівників             259</t>
  </si>
  <si>
    <r>
      <t xml:space="preserve">Звітний період (4 квартал </t>
    </r>
    <r>
      <rPr>
        <u/>
        <sz val="11.5"/>
        <rFont val="Times New Roman"/>
        <family val="1"/>
        <charset val="204"/>
      </rPr>
      <t>2022</t>
    </r>
    <r>
      <rPr>
        <sz val="11.5"/>
        <rFont val="Times New Roman"/>
        <family val="1"/>
        <charset val="204"/>
      </rPr>
      <t xml:space="preserve"> року)</t>
    </r>
  </si>
  <si>
    <t>Ольга ВОРОНЬКО</t>
  </si>
  <si>
    <t>Заступник директора - начальник управління фінансово-економічного забезпечення - головний бухгалтер</t>
  </si>
  <si>
    <t>Заступник директора-начальник управління організаційно-кадрової роботи, правового, інформаційногота технічного забезпечення департаменту охорони здоров'я населення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</si>
</sst>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indexed="10"/>
      <name val="Calibri"/>
      <family val="2"/>
      <charset val="204"/>
    </font>
    <font>
      <u/>
      <sz val="13.5"/>
      <name val="Times New Roman"/>
      <family val="1"/>
      <charset val="204"/>
    </font>
    <font>
      <u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.5"/>
      <name val="Arial Cyr"/>
      <charset val="204"/>
    </font>
    <font>
      <b/>
      <sz val="11.5"/>
      <name val="Times New Roman"/>
      <family val="1"/>
      <charset val="204"/>
    </font>
    <font>
      <sz val="13.5"/>
      <name val="Calibri"/>
      <family val="2"/>
      <charset val="204"/>
    </font>
    <font>
      <sz val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indexed="8"/>
      <name val="Calibri"/>
      <family val="2"/>
      <charset val="204"/>
    </font>
    <font>
      <sz val="13.5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3.5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3.5"/>
      <name val="Calibri"/>
      <family val="2"/>
      <charset val="204"/>
    </font>
    <font>
      <sz val="9"/>
      <color indexed="8"/>
      <name val="Arial"/>
      <family val="2"/>
      <charset val="204"/>
    </font>
    <font>
      <sz val="13.5"/>
      <color indexed="8"/>
      <name val="Calibri"/>
      <family val="2"/>
      <charset val="204"/>
    </font>
    <font>
      <sz val="13.5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246">
    <xf numFmtId="0" fontId="0" fillId="0" borderId="0" xfId="0"/>
    <xf numFmtId="0" fontId="5" fillId="0" borderId="0" xfId="2" applyFont="1"/>
    <xf numFmtId="0" fontId="18" fillId="0" borderId="0" xfId="2" applyFont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0" fillId="0" borderId="0" xfId="2" applyFont="1"/>
    <xf numFmtId="0" fontId="20" fillId="2" borderId="0" xfId="2" applyFont="1" applyFill="1"/>
    <xf numFmtId="0" fontId="18" fillId="0" borderId="0" xfId="2" applyFont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20" fillId="0" borderId="0" xfId="2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5" fillId="3" borderId="0" xfId="2" applyFont="1" applyFill="1" applyBorder="1"/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3" borderId="1" xfId="0" applyFont="1" applyFill="1" applyBorder="1" applyAlignment="1" applyProtection="1">
      <alignment horizontal="justify" vertical="center" wrapText="1"/>
      <protection locked="0"/>
    </xf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2" xfId="0" applyFont="1" applyFill="1" applyBorder="1"/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0" fontId="6" fillId="3" borderId="4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2" fillId="2" borderId="0" xfId="2" applyFont="1" applyFill="1"/>
    <xf numFmtId="0" fontId="23" fillId="0" borderId="2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4" fillId="2" borderId="0" xfId="2" applyFont="1" applyFill="1"/>
    <xf numFmtId="0" fontId="6" fillId="0" borderId="1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25" fillId="2" borderId="0" xfId="2" applyFont="1" applyFill="1"/>
    <xf numFmtId="4" fontId="6" fillId="0" borderId="1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8" fillId="0" borderId="0" xfId="2" applyNumberFormat="1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left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29" fillId="0" borderId="0" xfId="2" applyFont="1" applyFill="1"/>
    <xf numFmtId="0" fontId="5" fillId="0" borderId="0" xfId="2" applyFont="1" applyFill="1"/>
    <xf numFmtId="0" fontId="3" fillId="0" borderId="0" xfId="2" applyFont="1" applyFill="1" applyAlignment="1" applyProtection="1">
      <alignment horizontal="center" vertical="center" wrapText="1"/>
      <protection locked="0"/>
    </xf>
    <xf numFmtId="0" fontId="13" fillId="0" borderId="0" xfId="2" applyFont="1" applyFill="1" applyAlignment="1" applyProtection="1">
      <alignment horizontal="center" vertical="center" wrapText="1"/>
      <protection locked="0"/>
    </xf>
    <xf numFmtId="0" fontId="19" fillId="0" borderId="0" xfId="2" applyFont="1" applyFill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 wrapText="1"/>
      <protection locked="0"/>
    </xf>
    <xf numFmtId="0" fontId="14" fillId="0" borderId="0" xfId="2" applyFont="1" applyFill="1" applyAlignment="1" applyProtection="1">
      <alignment horizontal="center" vertical="center" wrapText="1"/>
      <protection locked="0"/>
    </xf>
    <xf numFmtId="0" fontId="18" fillId="0" borderId="0" xfId="2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Alignment="1"/>
    <xf numFmtId="0" fontId="2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vertical="center" wrapText="1"/>
      <protection locked="0"/>
    </xf>
    <xf numFmtId="0" fontId="15" fillId="0" borderId="0" xfId="2" applyFont="1" applyFill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15" fillId="0" borderId="2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Fill="1"/>
    <xf numFmtId="0" fontId="20" fillId="0" borderId="0" xfId="2" applyFont="1" applyFill="1" applyAlignment="1">
      <alignment vertical="top"/>
    </xf>
    <xf numFmtId="0" fontId="7" fillId="0" borderId="0" xfId="2" applyFont="1" applyFill="1" applyBorder="1"/>
    <xf numFmtId="0" fontId="1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25" fillId="0" borderId="0" xfId="2" applyFont="1" applyFill="1"/>
    <xf numFmtId="165" fontId="20" fillId="0" borderId="0" xfId="2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8" fillId="0" borderId="0" xfId="2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22" fillId="0" borderId="0" xfId="2" applyFont="1" applyFill="1"/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4" xfId="0" applyFont="1" applyFill="1" applyBorder="1" applyAlignment="1" applyProtection="1">
      <alignment horizontal="justify" vertical="center" wrapText="1"/>
      <protection locked="0"/>
    </xf>
    <xf numFmtId="164" fontId="20" fillId="0" borderId="0" xfId="2" applyNumberFormat="1" applyFont="1" applyFill="1"/>
    <xf numFmtId="0" fontId="21" fillId="0" borderId="0" xfId="2" applyFont="1" applyFill="1"/>
    <xf numFmtId="0" fontId="5" fillId="0" borderId="0" xfId="2" applyFont="1" applyFill="1" applyBorder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8" xfId="2" applyFont="1" applyFill="1" applyBorder="1" applyAlignment="1" applyProtection="1">
      <alignment horizontal="right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15" fillId="0" borderId="2" xfId="2" applyFont="1" applyFill="1" applyBorder="1" applyAlignment="1" applyProtection="1">
      <alignment horizontal="center" vertical="center" wrapText="1"/>
      <protection locked="0"/>
    </xf>
    <xf numFmtId="1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2" applyFont="1" applyFill="1" applyBorder="1" applyAlignment="1">
      <alignment horizontal="left" wrapText="1"/>
    </xf>
    <xf numFmtId="0" fontId="18" fillId="0" borderId="0" xfId="2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0" xfId="2" applyFont="1" applyFill="1" applyAlignment="1" applyProtection="1">
      <alignment horizontal="center" vertical="center" wrapText="1"/>
      <protection locked="0"/>
    </xf>
    <xf numFmtId="0" fontId="9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2" fillId="0" borderId="20" xfId="2" applyFont="1" applyFill="1" applyBorder="1" applyAlignment="1" applyProtection="1">
      <alignment horizontal="center" vertical="center" wrapText="1"/>
      <protection locked="0"/>
    </xf>
    <xf numFmtId="0" fontId="2" fillId="0" borderId="21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6" fillId="0" borderId="8" xfId="2" applyFont="1" applyBorder="1" applyAlignment="1" applyProtection="1">
      <alignment horizontal="right" vertical="center" wrapText="1"/>
      <protection locked="0"/>
    </xf>
    <xf numFmtId="0" fontId="3" fillId="0" borderId="18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27" fillId="0" borderId="0" xfId="2" applyFont="1" applyFill="1" applyAlignment="1">
      <alignment horizontal="left" vertical="center" wrapText="1"/>
    </xf>
    <xf numFmtId="0" fontId="20" fillId="0" borderId="14" xfId="2" applyFont="1" applyFill="1" applyBorder="1" applyAlignment="1">
      <alignment horizontal="left" wrapText="1"/>
    </xf>
    <xf numFmtId="0" fontId="20" fillId="0" borderId="0" xfId="2" applyFont="1" applyFill="1" applyBorder="1" applyAlignment="1">
      <alignment horizontal="left" wrapText="1"/>
    </xf>
    <xf numFmtId="0" fontId="20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21" fillId="0" borderId="14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8" fillId="0" borderId="18" xfId="2" applyFont="1" applyFill="1" applyBorder="1" applyAlignment="1">
      <alignment horizontal="left" vertical="center" wrapText="1"/>
    </xf>
    <xf numFmtId="0" fontId="28" fillId="0" borderId="0" xfId="2" applyFont="1" applyFill="1" applyAlignment="1">
      <alignment horizontal="left" vertical="center" wrapText="1"/>
    </xf>
    <xf numFmtId="0" fontId="18" fillId="0" borderId="18" xfId="2" applyFont="1" applyFill="1" applyBorder="1" applyAlignment="1">
      <alignment horizontal="left" vertical="center" wrapText="1"/>
    </xf>
    <xf numFmtId="0" fontId="18" fillId="0" borderId="0" xfId="2" applyFont="1" applyFill="1" applyAlignment="1">
      <alignment horizontal="left" vertical="center" wrapText="1"/>
    </xf>
    <xf numFmtId="0" fontId="20" fillId="2" borderId="14" xfId="2" applyFont="1" applyFill="1" applyBorder="1" applyAlignment="1">
      <alignment horizontal="left" vertical="center" wrapText="1"/>
    </xf>
    <xf numFmtId="0" fontId="20" fillId="2" borderId="0" xfId="2" applyFont="1" applyFill="1" applyAlignment="1">
      <alignment horizontal="left" vertical="center" wrapText="1"/>
    </xf>
    <xf numFmtId="0" fontId="5" fillId="0" borderId="7" xfId="2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/>
    </xf>
    <xf numFmtId="0" fontId="2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8" xfId="2" applyFont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3" fillId="3" borderId="1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7"/>
  <sheetViews>
    <sheetView tabSelected="1" view="pageBreakPreview" zoomScale="60" zoomScaleNormal="75" workbookViewId="0">
      <selection activeCell="J89" sqref="J89"/>
    </sheetView>
  </sheetViews>
  <sheetFormatPr defaultColWidth="9.109375" defaultRowHeight="18" x14ac:dyDescent="0.35"/>
  <cols>
    <col min="1" max="1" width="72.5546875" style="167" customWidth="1"/>
    <col min="2" max="2" width="10.6640625" style="167" customWidth="1"/>
    <col min="3" max="4" width="20.6640625" style="116" customWidth="1"/>
    <col min="5" max="5" width="20.6640625" style="178" customWidth="1"/>
    <col min="6" max="9" width="20.6640625" style="116" customWidth="1"/>
    <col min="10" max="10" width="12.6640625" style="31" customWidth="1"/>
    <col min="11" max="11" width="14" style="31" customWidth="1"/>
    <col min="12" max="16384" width="9.109375" style="31"/>
  </cols>
  <sheetData>
    <row r="1" spans="1:10" ht="20.25" customHeight="1" x14ac:dyDescent="0.35">
      <c r="A1" s="137"/>
      <c r="B1" s="138"/>
      <c r="C1" s="123"/>
      <c r="D1" s="139" t="s">
        <v>1</v>
      </c>
      <c r="E1" s="140"/>
      <c r="F1" s="127"/>
      <c r="G1" s="141"/>
    </row>
    <row r="2" spans="1:10" ht="20.399999999999999" customHeight="1" x14ac:dyDescent="0.35">
      <c r="A2" s="137"/>
      <c r="B2" s="138"/>
      <c r="C2" s="123"/>
      <c r="D2" s="197" t="s">
        <v>2</v>
      </c>
      <c r="E2" s="197"/>
      <c r="F2" s="197"/>
      <c r="G2" s="197"/>
      <c r="H2" s="197"/>
      <c r="I2" s="197"/>
    </row>
    <row r="3" spans="1:10" ht="7.95" customHeight="1" x14ac:dyDescent="0.35">
      <c r="A3" s="137"/>
      <c r="B3" s="138"/>
      <c r="C3" s="123"/>
      <c r="D3" s="142"/>
      <c r="E3" s="143"/>
      <c r="F3" s="142"/>
      <c r="G3" s="144"/>
    </row>
    <row r="4" spans="1:10" ht="17.25" customHeight="1" x14ac:dyDescent="0.35">
      <c r="A4" s="145" t="s">
        <v>4</v>
      </c>
      <c r="B4" s="138"/>
      <c r="C4" s="123"/>
      <c r="D4" s="198" t="s">
        <v>3</v>
      </c>
      <c r="E4" s="198"/>
      <c r="F4" s="198"/>
      <c r="G4" s="198"/>
      <c r="H4" s="198"/>
      <c r="I4" s="198"/>
    </row>
    <row r="5" spans="1:10" ht="49.5" customHeight="1" x14ac:dyDescent="0.35">
      <c r="A5" s="180" t="s">
        <v>134</v>
      </c>
      <c r="B5" s="138"/>
      <c r="C5" s="123"/>
      <c r="D5" s="199" t="s">
        <v>135</v>
      </c>
      <c r="E5" s="199"/>
      <c r="F5" s="199"/>
      <c r="G5" s="199"/>
      <c r="H5" s="199"/>
      <c r="I5" s="199"/>
    </row>
    <row r="6" spans="1:10" ht="22.2" customHeight="1" x14ac:dyDescent="0.35">
      <c r="A6" s="181" t="s">
        <v>133</v>
      </c>
      <c r="B6" s="146"/>
      <c r="C6" s="123"/>
      <c r="D6" s="200" t="s">
        <v>128</v>
      </c>
      <c r="E6" s="200"/>
      <c r="F6" s="200"/>
      <c r="G6" s="200"/>
      <c r="H6" s="200"/>
      <c r="I6" s="200"/>
    </row>
    <row r="7" spans="1:10" ht="13.2" customHeight="1" x14ac:dyDescent="0.35">
      <c r="A7" s="147" t="s">
        <v>74</v>
      </c>
      <c r="B7" s="138"/>
      <c r="C7" s="123"/>
      <c r="D7" s="197" t="s">
        <v>74</v>
      </c>
      <c r="E7" s="197"/>
      <c r="F7" s="197"/>
      <c r="G7" s="197"/>
      <c r="H7" s="197"/>
      <c r="I7" s="197"/>
    </row>
    <row r="8" spans="1:10" ht="16.95" customHeight="1" x14ac:dyDescent="0.35">
      <c r="A8" s="148"/>
      <c r="B8" s="138"/>
      <c r="C8" s="123"/>
      <c r="D8" s="147"/>
      <c r="E8" s="149"/>
      <c r="F8" s="147"/>
      <c r="G8" s="147"/>
      <c r="H8" s="147"/>
      <c r="I8" s="147"/>
    </row>
    <row r="9" spans="1:10" ht="16.95" customHeight="1" x14ac:dyDescent="0.35">
      <c r="A9" s="150" t="s">
        <v>103</v>
      </c>
      <c r="B9" s="138"/>
      <c r="C9" s="123"/>
      <c r="D9" s="151" t="s">
        <v>62</v>
      </c>
      <c r="E9" s="152"/>
      <c r="F9" s="151"/>
      <c r="G9" s="147"/>
      <c r="H9" s="147"/>
      <c r="I9" s="147"/>
    </row>
    <row r="10" spans="1:10" ht="16.95" customHeight="1" x14ac:dyDescent="0.35">
      <c r="A10" s="150" t="s">
        <v>131</v>
      </c>
      <c r="B10" s="138"/>
      <c r="C10" s="123"/>
      <c r="D10" s="182" t="s">
        <v>63</v>
      </c>
      <c r="E10" s="183" t="s">
        <v>107</v>
      </c>
      <c r="F10" s="184">
        <v>44927</v>
      </c>
      <c r="G10" s="147"/>
      <c r="H10" s="147"/>
      <c r="I10" s="147"/>
      <c r="J10" s="153"/>
    </row>
    <row r="11" spans="1:10" ht="16.95" customHeight="1" x14ac:dyDescent="0.35">
      <c r="A11" s="150" t="s">
        <v>123</v>
      </c>
      <c r="B11" s="138"/>
      <c r="C11" s="123"/>
      <c r="D11" s="151"/>
      <c r="E11" s="152"/>
      <c r="F11" s="151"/>
      <c r="G11" s="147"/>
      <c r="H11" s="147"/>
      <c r="I11" s="147"/>
    </row>
    <row r="12" spans="1:10" ht="16.95" customHeight="1" x14ac:dyDescent="0.35">
      <c r="A12" s="150" t="s">
        <v>124</v>
      </c>
      <c r="B12" s="138"/>
      <c r="C12" s="123"/>
      <c r="D12" s="194" t="s">
        <v>64</v>
      </c>
      <c r="E12" s="195"/>
      <c r="F12" s="196"/>
      <c r="G12" s="147"/>
      <c r="H12" s="147"/>
      <c r="I12" s="147"/>
    </row>
    <row r="13" spans="1:10" ht="16.95" customHeight="1" x14ac:dyDescent="0.35">
      <c r="A13" s="148"/>
      <c r="B13" s="138"/>
      <c r="C13" s="123"/>
      <c r="D13" s="147"/>
      <c r="E13" s="149"/>
      <c r="F13" s="147"/>
      <c r="G13" s="147"/>
      <c r="H13" s="147"/>
      <c r="I13" s="147"/>
    </row>
    <row r="14" spans="1:10" ht="16.95" customHeight="1" x14ac:dyDescent="0.35">
      <c r="A14" s="188" t="s">
        <v>67</v>
      </c>
      <c r="B14" s="188"/>
      <c r="C14" s="188"/>
      <c r="D14" s="188"/>
      <c r="E14" s="188"/>
      <c r="F14" s="188"/>
      <c r="G14" s="188"/>
      <c r="H14" s="188"/>
      <c r="I14" s="188"/>
    </row>
    <row r="15" spans="1:10" x14ac:dyDescent="0.35">
      <c r="A15" s="189" t="s">
        <v>125</v>
      </c>
      <c r="B15" s="189"/>
      <c r="C15" s="189"/>
      <c r="D15" s="189"/>
      <c r="E15" s="189"/>
      <c r="F15" s="189"/>
      <c r="G15" s="189"/>
      <c r="H15" s="189"/>
      <c r="I15" s="189"/>
      <c r="J15" s="154"/>
    </row>
    <row r="16" spans="1:10" ht="13.2" customHeight="1" x14ac:dyDescent="0.35">
      <c r="A16" s="190" t="s">
        <v>5</v>
      </c>
      <c r="B16" s="190"/>
      <c r="C16" s="190"/>
      <c r="D16" s="190"/>
      <c r="E16" s="190"/>
      <c r="F16" s="190"/>
      <c r="G16" s="190"/>
      <c r="H16" s="190"/>
      <c r="I16" s="190"/>
    </row>
    <row r="17" spans="1:24" ht="20.399999999999999" customHeight="1" x14ac:dyDescent="0.35">
      <c r="A17" s="191" t="s">
        <v>129</v>
      </c>
      <c r="B17" s="191"/>
      <c r="C17" s="191"/>
      <c r="D17" s="191"/>
      <c r="E17" s="191"/>
      <c r="F17" s="191"/>
      <c r="G17" s="191"/>
      <c r="H17" s="191"/>
      <c r="I17" s="191"/>
    </row>
    <row r="18" spans="1:24" ht="15" customHeight="1" x14ac:dyDescent="0.35">
      <c r="A18" s="155"/>
      <c r="B18" s="132"/>
      <c r="C18" s="124"/>
      <c r="D18" s="124"/>
      <c r="E18" s="156"/>
      <c r="H18" s="157"/>
      <c r="I18" s="116" t="s">
        <v>72</v>
      </c>
    </row>
    <row r="19" spans="1:24" ht="20.399999999999999" customHeight="1" x14ac:dyDescent="0.35">
      <c r="A19" s="192" t="s">
        <v>6</v>
      </c>
      <c r="B19" s="192" t="s">
        <v>7</v>
      </c>
      <c r="C19" s="192" t="s">
        <v>127</v>
      </c>
      <c r="D19" s="192" t="s">
        <v>102</v>
      </c>
      <c r="E19" s="193" t="s">
        <v>8</v>
      </c>
      <c r="F19" s="187" t="s">
        <v>21</v>
      </c>
      <c r="G19" s="187"/>
      <c r="H19" s="187"/>
      <c r="I19" s="187"/>
    </row>
    <row r="20" spans="1:24" ht="34.5" customHeight="1" x14ac:dyDescent="0.35">
      <c r="A20" s="192"/>
      <c r="B20" s="192"/>
      <c r="C20" s="192"/>
      <c r="D20" s="192"/>
      <c r="E20" s="193"/>
      <c r="F20" s="158" t="s">
        <v>9</v>
      </c>
      <c r="G20" s="159" t="s">
        <v>10</v>
      </c>
      <c r="H20" s="159" t="s">
        <v>11</v>
      </c>
      <c r="I20" s="159" t="s">
        <v>12</v>
      </c>
    </row>
    <row r="21" spans="1:24" s="162" customFormat="1" ht="13.8" x14ac:dyDescent="0.3">
      <c r="A21" s="125" t="s">
        <v>13</v>
      </c>
      <c r="B21" s="125" t="s">
        <v>14</v>
      </c>
      <c r="C21" s="125">
        <v>3</v>
      </c>
      <c r="D21" s="125">
        <v>4</v>
      </c>
      <c r="E21" s="160">
        <v>5</v>
      </c>
      <c r="F21" s="129">
        <v>6</v>
      </c>
      <c r="G21" s="161">
        <v>7</v>
      </c>
      <c r="H21" s="161">
        <v>8</v>
      </c>
      <c r="I21" s="161">
        <v>9</v>
      </c>
    </row>
    <row r="22" spans="1:24" ht="20.25" customHeight="1" x14ac:dyDescent="0.35">
      <c r="A22" s="201" t="s">
        <v>22</v>
      </c>
      <c r="B22" s="202"/>
      <c r="C22" s="202"/>
      <c r="D22" s="202"/>
      <c r="E22" s="202"/>
      <c r="F22" s="202"/>
      <c r="G22" s="202"/>
      <c r="H22" s="202"/>
      <c r="I22" s="203"/>
      <c r="J22" s="163"/>
    </row>
    <row r="23" spans="1:24" ht="16.2" customHeight="1" x14ac:dyDescent="0.35">
      <c r="A23" s="201" t="s">
        <v>25</v>
      </c>
      <c r="B23" s="202"/>
      <c r="C23" s="202"/>
      <c r="D23" s="202"/>
      <c r="E23" s="202"/>
      <c r="F23" s="202"/>
      <c r="G23" s="202"/>
      <c r="H23" s="202"/>
      <c r="I23" s="203"/>
      <c r="J23" s="163"/>
    </row>
    <row r="24" spans="1:24" ht="33" customHeight="1" x14ac:dyDescent="0.35">
      <c r="A24" s="24" t="s">
        <v>98</v>
      </c>
      <c r="B24" s="164" t="s">
        <v>23</v>
      </c>
      <c r="C24" s="84">
        <v>120781482.23999999</v>
      </c>
      <c r="D24" s="84">
        <f t="shared" ref="D24:I24" si="0">D25+D26</f>
        <v>0</v>
      </c>
      <c r="E24" s="75">
        <f t="shared" si="0"/>
        <v>96593603.479999989</v>
      </c>
      <c r="F24" s="84">
        <f t="shared" si="0"/>
        <v>23436748.009999998</v>
      </c>
      <c r="G24" s="84">
        <f t="shared" si="0"/>
        <v>24852527.850000001</v>
      </c>
      <c r="H24" s="84">
        <f t="shared" si="0"/>
        <v>18723844.579999998</v>
      </c>
      <c r="I24" s="84">
        <f t="shared" si="0"/>
        <v>29580483.039999999</v>
      </c>
      <c r="J24" s="216"/>
      <c r="K24" s="216"/>
      <c r="L24" s="216"/>
      <c r="M24" s="216"/>
      <c r="N24" s="216"/>
      <c r="O24" s="216"/>
      <c r="P24" s="216"/>
    </row>
    <row r="25" spans="1:24" ht="35.25" customHeight="1" x14ac:dyDescent="0.35">
      <c r="A25" s="19" t="s">
        <v>27</v>
      </c>
      <c r="B25" s="165" t="s">
        <v>28</v>
      </c>
      <c r="C25" s="55">
        <v>116910888.23999999</v>
      </c>
      <c r="D25" s="55"/>
      <c r="E25" s="75">
        <f>SUM(F25:I25)</f>
        <v>96593603.479999989</v>
      </c>
      <c r="F25" s="55">
        <v>23436748.009999998</v>
      </c>
      <c r="G25" s="55">
        <f>48289275.86-F25</f>
        <v>24852527.850000001</v>
      </c>
      <c r="H25" s="55">
        <v>18723844.579999998</v>
      </c>
      <c r="I25" s="55">
        <v>29580483.039999999</v>
      </c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35">
      <c r="A26" s="16" t="s">
        <v>110</v>
      </c>
      <c r="B26" s="166" t="s">
        <v>29</v>
      </c>
      <c r="C26" s="55">
        <v>3870594</v>
      </c>
      <c r="D26" s="55"/>
      <c r="E26" s="75">
        <f>SUM(F26:I26)</f>
        <v>0</v>
      </c>
      <c r="F26" s="86">
        <v>0</v>
      </c>
      <c r="G26" s="55">
        <v>0</v>
      </c>
      <c r="H26" s="55">
        <v>0</v>
      </c>
      <c r="I26" s="55">
        <v>0</v>
      </c>
      <c r="J26" s="167"/>
    </row>
    <row r="27" spans="1:24" ht="18" customHeight="1" x14ac:dyDescent="0.35">
      <c r="A27" s="66" t="s">
        <v>105</v>
      </c>
      <c r="B27" s="168" t="s">
        <v>24</v>
      </c>
      <c r="C27" s="126">
        <v>19156030.66</v>
      </c>
      <c r="D27" s="126">
        <f>D28</f>
        <v>0</v>
      </c>
      <c r="E27" s="75">
        <f t="shared" ref="E27:E38" si="1">SUM(F27:I27)</f>
        <v>15361440.83</v>
      </c>
      <c r="F27" s="126">
        <f>F28</f>
        <v>3902506</v>
      </c>
      <c r="G27" s="126">
        <f>G28</f>
        <v>1953955.83</v>
      </c>
      <c r="H27" s="126">
        <f>H28</f>
        <v>5086138.3100000005</v>
      </c>
      <c r="I27" s="126">
        <f>I28</f>
        <v>4418840.6899999995</v>
      </c>
      <c r="J27" s="227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</row>
    <row r="28" spans="1:24" ht="18" customHeight="1" x14ac:dyDescent="0.35">
      <c r="A28" s="16" t="s">
        <v>111</v>
      </c>
      <c r="B28" s="169" t="s">
        <v>106</v>
      </c>
      <c r="C28" s="89">
        <v>19156030.66</v>
      </c>
      <c r="D28" s="89"/>
      <c r="E28" s="75">
        <f>15884810.83-E30</f>
        <v>15361440.83</v>
      </c>
      <c r="F28" s="89">
        <v>3902506</v>
      </c>
      <c r="G28" s="89">
        <f>5856461.83-F28</f>
        <v>1953955.83</v>
      </c>
      <c r="H28" s="55">
        <f>10942600.14-F28-G28</f>
        <v>5086138.3100000005</v>
      </c>
      <c r="I28" s="55">
        <f>E28-F28-G28-H28</f>
        <v>4418840.6899999995</v>
      </c>
      <c r="J28" s="185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</row>
    <row r="29" spans="1:24" ht="18" customHeight="1" x14ac:dyDescent="0.35">
      <c r="A29" s="67" t="s">
        <v>99</v>
      </c>
      <c r="B29" s="60">
        <v>1030</v>
      </c>
      <c r="C29" s="84">
        <v>34919319.377999999</v>
      </c>
      <c r="D29" s="84">
        <f>D30+D31+D32+D33+D34+D35+D36+D37+D38</f>
        <v>0</v>
      </c>
      <c r="E29" s="75">
        <f t="shared" si="1"/>
        <v>25363103.649999999</v>
      </c>
      <c r="F29" s="84">
        <f>SUM(F30:F38)</f>
        <v>706768.51</v>
      </c>
      <c r="G29" s="84">
        <f>SUM(G30:G38)</f>
        <v>17906067.759999998</v>
      </c>
      <c r="H29" s="84">
        <f>SUM(H30:H38)</f>
        <v>2097218.7500000005</v>
      </c>
      <c r="I29" s="84">
        <f>SUM(I30:I38)</f>
        <v>4653048.63</v>
      </c>
    </row>
    <row r="30" spans="1:24" ht="31.8" x14ac:dyDescent="0.35">
      <c r="A30" s="61" t="s">
        <v>81</v>
      </c>
      <c r="B30" s="17">
        <v>1031</v>
      </c>
      <c r="C30" s="89">
        <v>0</v>
      </c>
      <c r="D30" s="89"/>
      <c r="E30" s="75">
        <f t="shared" si="1"/>
        <v>523370</v>
      </c>
      <c r="F30" s="89">
        <v>0</v>
      </c>
      <c r="G30" s="55">
        <v>0</v>
      </c>
      <c r="H30" s="55">
        <v>0</v>
      </c>
      <c r="I30" s="55">
        <v>523370</v>
      </c>
    </row>
    <row r="31" spans="1:24" ht="31.8" x14ac:dyDescent="0.35">
      <c r="A31" s="61" t="s">
        <v>97</v>
      </c>
      <c r="B31" s="17">
        <v>1032</v>
      </c>
      <c r="C31" s="89">
        <v>929036.29999999993</v>
      </c>
      <c r="D31" s="89"/>
      <c r="E31" s="75">
        <f t="shared" si="1"/>
        <v>574176.28</v>
      </c>
      <c r="F31" s="89">
        <v>67621</v>
      </c>
      <c r="G31" s="55">
        <f>190063.61-F31</f>
        <v>122442.60999999999</v>
      </c>
      <c r="H31" s="55">
        <f>320215.75-F31-G31</f>
        <v>130152.14000000001</v>
      </c>
      <c r="I31" s="55">
        <v>253960.53</v>
      </c>
    </row>
    <row r="32" spans="1:24" ht="18" customHeight="1" x14ac:dyDescent="0.35">
      <c r="A32" s="76" t="s">
        <v>15</v>
      </c>
      <c r="B32" s="17">
        <v>1033</v>
      </c>
      <c r="C32" s="89">
        <v>12486680.16</v>
      </c>
      <c r="D32" s="89"/>
      <c r="E32" s="75">
        <f t="shared" si="1"/>
        <v>4257473.46</v>
      </c>
      <c r="F32" s="89">
        <v>588762.59</v>
      </c>
      <c r="G32" s="55">
        <f>3494409.59-F32</f>
        <v>2905647</v>
      </c>
      <c r="H32" s="55">
        <f>3942600.14-F32-G32</f>
        <v>448190.55000000028</v>
      </c>
      <c r="I32" s="55">
        <v>314873.32</v>
      </c>
      <c r="J32" s="217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</row>
    <row r="33" spans="1:28" ht="18" customHeight="1" x14ac:dyDescent="0.35">
      <c r="A33" s="61" t="s">
        <v>100</v>
      </c>
      <c r="B33" s="17">
        <v>1034</v>
      </c>
      <c r="C33" s="89">
        <v>0</v>
      </c>
      <c r="D33" s="89"/>
      <c r="E33" s="75">
        <f t="shared" si="1"/>
        <v>0</v>
      </c>
      <c r="F33" s="91">
        <v>0</v>
      </c>
      <c r="G33" s="55">
        <v>0</v>
      </c>
      <c r="H33" s="55">
        <v>0</v>
      </c>
      <c r="I33" s="55">
        <v>0</v>
      </c>
    </row>
    <row r="34" spans="1:28" ht="18" customHeight="1" x14ac:dyDescent="0.35">
      <c r="A34" s="77" t="s">
        <v>109</v>
      </c>
      <c r="B34" s="17">
        <v>1035</v>
      </c>
      <c r="C34" s="89">
        <v>30548.358</v>
      </c>
      <c r="D34" s="89"/>
      <c r="E34" s="75">
        <f t="shared" si="1"/>
        <v>43146.68</v>
      </c>
      <c r="F34" s="91">
        <v>15149.27</v>
      </c>
      <c r="G34" s="55">
        <v>7087.94</v>
      </c>
      <c r="H34" s="55">
        <v>3973.47</v>
      </c>
      <c r="I34" s="55">
        <v>16936</v>
      </c>
      <c r="J34" s="217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</row>
    <row r="35" spans="1:28" ht="18" customHeight="1" x14ac:dyDescent="0.35">
      <c r="A35" s="16" t="s">
        <v>80</v>
      </c>
      <c r="B35" s="17">
        <v>1036</v>
      </c>
      <c r="C35" s="89">
        <v>19915.18</v>
      </c>
      <c r="D35" s="89"/>
      <c r="E35" s="75">
        <f t="shared" si="1"/>
        <v>22743.5</v>
      </c>
      <c r="F35" s="89">
        <v>8824.36</v>
      </c>
      <c r="G35" s="55">
        <v>4970.8900000000003</v>
      </c>
      <c r="H35" s="55">
        <v>1208.5999999999999</v>
      </c>
      <c r="I35" s="55">
        <v>7739.65</v>
      </c>
    </row>
    <row r="36" spans="1:28" ht="18" customHeight="1" x14ac:dyDescent="0.35">
      <c r="A36" s="61" t="s">
        <v>101</v>
      </c>
      <c r="B36" s="17">
        <v>1037</v>
      </c>
      <c r="C36" s="89">
        <v>7520699.2799999993</v>
      </c>
      <c r="D36" s="89"/>
      <c r="E36" s="75">
        <f t="shared" si="1"/>
        <v>11995728.029999999</v>
      </c>
      <c r="F36" s="89">
        <v>26411.29</v>
      </c>
      <c r="G36" s="55">
        <v>10767860.939999999</v>
      </c>
      <c r="H36" s="55">
        <f>1201455.8</f>
        <v>1201455.8</v>
      </c>
      <c r="I36" s="55">
        <v>0</v>
      </c>
    </row>
    <row r="37" spans="1:28" ht="18" customHeight="1" x14ac:dyDescent="0.35">
      <c r="A37" s="61" t="s">
        <v>120</v>
      </c>
      <c r="B37" s="17">
        <v>1038</v>
      </c>
      <c r="C37" s="89">
        <v>40776.369999999995</v>
      </c>
      <c r="D37" s="89"/>
      <c r="E37" s="75">
        <f t="shared" si="1"/>
        <v>598536.74</v>
      </c>
      <c r="F37" s="89">
        <v>0</v>
      </c>
      <c r="G37" s="55">
        <v>9766.4500000000007</v>
      </c>
      <c r="H37" s="55">
        <v>133189.48000000001</v>
      </c>
      <c r="I37" s="55">
        <v>455580.81</v>
      </c>
    </row>
    <row r="38" spans="1:28" s="170" customFormat="1" ht="18" customHeight="1" x14ac:dyDescent="0.35">
      <c r="A38" s="61" t="s">
        <v>121</v>
      </c>
      <c r="B38" s="17">
        <v>1039</v>
      </c>
      <c r="C38" s="17">
        <v>13891663.73</v>
      </c>
      <c r="D38" s="89"/>
      <c r="E38" s="75">
        <f t="shared" si="1"/>
        <v>7347928.9600000009</v>
      </c>
      <c r="F38" s="89">
        <v>0</v>
      </c>
      <c r="G38" s="55">
        <f>4088291.93-F38</f>
        <v>4088291.93</v>
      </c>
      <c r="H38" s="55">
        <v>179048.71</v>
      </c>
      <c r="I38" s="55">
        <f>3080588.32</f>
        <v>3080588.32</v>
      </c>
      <c r="J38" s="31"/>
    </row>
    <row r="39" spans="1:28" ht="18" customHeight="1" x14ac:dyDescent="0.35">
      <c r="A39" s="212" t="s">
        <v>82</v>
      </c>
      <c r="B39" s="213"/>
      <c r="C39" s="213"/>
      <c r="D39" s="213"/>
      <c r="E39" s="213"/>
      <c r="F39" s="213"/>
      <c r="G39" s="213"/>
      <c r="H39" s="213"/>
      <c r="I39" s="214"/>
    </row>
    <row r="40" spans="1:28" ht="18" customHeight="1" x14ac:dyDescent="0.35">
      <c r="A40" s="19" t="s">
        <v>31</v>
      </c>
      <c r="B40" s="20">
        <v>1040</v>
      </c>
      <c r="C40" s="53">
        <v>72565924.200000003</v>
      </c>
      <c r="D40" s="53"/>
      <c r="E40" s="54">
        <v>56279784.710000001</v>
      </c>
      <c r="F40" s="55">
        <v>12848606.949999999</v>
      </c>
      <c r="G40" s="55">
        <f>25838283.74-F40</f>
        <v>12989676.789999999</v>
      </c>
      <c r="H40" s="55">
        <f>41286363.99-F40-G40</f>
        <v>15448080.250000004</v>
      </c>
      <c r="I40" s="55">
        <f t="shared" ref="I40:I49" si="2">E40-F40-G40-H40</f>
        <v>14993420.720000003</v>
      </c>
    </row>
    <row r="41" spans="1:28" ht="18" customHeight="1" x14ac:dyDescent="0.35">
      <c r="A41" s="19" t="s">
        <v>32</v>
      </c>
      <c r="B41" s="22">
        <v>1050</v>
      </c>
      <c r="C41" s="55">
        <v>16152391.32</v>
      </c>
      <c r="D41" s="55"/>
      <c r="E41" s="54">
        <v>12577511.830000002</v>
      </c>
      <c r="F41" s="92">
        <v>2806674.7909999997</v>
      </c>
      <c r="G41" s="55">
        <f>5746850.46-F41</f>
        <v>2940175.6690000002</v>
      </c>
      <c r="H41" s="55">
        <f>9239723.4-F41-G41</f>
        <v>3492872.9400000009</v>
      </c>
      <c r="I41" s="55">
        <f t="shared" si="2"/>
        <v>3337788.430000002</v>
      </c>
    </row>
    <row r="42" spans="1:28" ht="18" customHeight="1" x14ac:dyDescent="0.35">
      <c r="A42" s="19" t="s">
        <v>33</v>
      </c>
      <c r="B42" s="22">
        <v>1060</v>
      </c>
      <c r="C42" s="55">
        <v>3744100</v>
      </c>
      <c r="D42" s="55"/>
      <c r="E42" s="54">
        <f>1133059.06+2248.6</f>
        <v>1135307.6600000001</v>
      </c>
      <c r="F42" s="92">
        <v>98390.95</v>
      </c>
      <c r="G42" s="55">
        <f>544675.63-F42</f>
        <v>446284.68</v>
      </c>
      <c r="H42" s="55">
        <f>568989-F42-G42</f>
        <v>24313.369999999995</v>
      </c>
      <c r="I42" s="55">
        <f t="shared" si="2"/>
        <v>566318.66000000027</v>
      </c>
    </row>
    <row r="43" spans="1:28" ht="18" customHeight="1" x14ac:dyDescent="0.35">
      <c r="A43" s="19" t="s">
        <v>34</v>
      </c>
      <c r="B43" s="22">
        <v>1070</v>
      </c>
      <c r="C43" s="55">
        <v>53993202.86999999</v>
      </c>
      <c r="D43" s="55"/>
      <c r="E43" s="54">
        <v>29948277.140000001</v>
      </c>
      <c r="F43" s="92">
        <v>3982455.67</v>
      </c>
      <c r="G43" s="55">
        <f>19884287.88-F43</f>
        <v>15901832.209999999</v>
      </c>
      <c r="H43" s="55">
        <v>1253950.3500000001</v>
      </c>
      <c r="I43" s="55">
        <f t="shared" si="2"/>
        <v>8810038.9100000001</v>
      </c>
    </row>
    <row r="44" spans="1:28" ht="18" customHeight="1" x14ac:dyDescent="0.35">
      <c r="A44" s="19" t="s">
        <v>35</v>
      </c>
      <c r="B44" s="22">
        <v>1080</v>
      </c>
      <c r="C44" s="55">
        <v>800553.80999999994</v>
      </c>
      <c r="D44" s="55"/>
      <c r="E44" s="54">
        <v>1071267.1100000001</v>
      </c>
      <c r="F44" s="92">
        <v>104170.09</v>
      </c>
      <c r="G44" s="55">
        <f>309572.14-F44</f>
        <v>205402.05000000002</v>
      </c>
      <c r="H44" s="55">
        <f>770556.92-F44-G44</f>
        <v>460984.78</v>
      </c>
      <c r="I44" s="55">
        <f t="shared" si="2"/>
        <v>300710.19000000006</v>
      </c>
    </row>
    <row r="45" spans="1:28" ht="18" customHeight="1" x14ac:dyDescent="0.35">
      <c r="A45" s="19" t="s">
        <v>36</v>
      </c>
      <c r="B45" s="22">
        <v>1090</v>
      </c>
      <c r="C45" s="55">
        <v>11786171.84</v>
      </c>
      <c r="D45" s="55"/>
      <c r="E45" s="54">
        <v>4793080.0599999996</v>
      </c>
      <c r="F45" s="92">
        <v>903449.5</v>
      </c>
      <c r="G45" s="55">
        <f>1709201.55-F45</f>
        <v>805752.05</v>
      </c>
      <c r="H45" s="55">
        <f>2342713.7-F45-G45</f>
        <v>633512.15000000014</v>
      </c>
      <c r="I45" s="55">
        <f t="shared" si="2"/>
        <v>2450366.3599999994</v>
      </c>
    </row>
    <row r="46" spans="1:28" ht="18" customHeight="1" x14ac:dyDescent="0.35">
      <c r="A46" s="19" t="s">
        <v>37</v>
      </c>
      <c r="B46" s="22">
        <v>1100</v>
      </c>
      <c r="C46" s="55">
        <v>0</v>
      </c>
      <c r="D46" s="55"/>
      <c r="E46" s="54">
        <v>0</v>
      </c>
      <c r="F46" s="92">
        <v>0</v>
      </c>
      <c r="G46" s="55">
        <f>-F46</f>
        <v>0</v>
      </c>
      <c r="H46" s="55">
        <v>0</v>
      </c>
      <c r="I46" s="55">
        <f t="shared" si="2"/>
        <v>0</v>
      </c>
    </row>
    <row r="47" spans="1:28" ht="18" customHeight="1" x14ac:dyDescent="0.35">
      <c r="A47" s="19" t="s">
        <v>73</v>
      </c>
      <c r="B47" s="22">
        <v>1110</v>
      </c>
      <c r="C47" s="55">
        <v>8368043.4000000004</v>
      </c>
      <c r="D47" s="55"/>
      <c r="E47" s="54">
        <v>7948218.9900000002</v>
      </c>
      <c r="F47" s="92">
        <v>8824.36</v>
      </c>
      <c r="G47" s="55">
        <f>4341366.47-F47</f>
        <v>4332542.1099999994</v>
      </c>
      <c r="H47" s="55">
        <f>4962411.91-F47-G47</f>
        <v>621045.44000000041</v>
      </c>
      <c r="I47" s="55">
        <f t="shared" si="2"/>
        <v>2985807.08</v>
      </c>
    </row>
    <row r="48" spans="1:28" ht="36.75" customHeight="1" x14ac:dyDescent="0.35">
      <c r="A48" s="23" t="s">
        <v>38</v>
      </c>
      <c r="B48" s="22">
        <v>1120</v>
      </c>
      <c r="C48" s="55">
        <v>18548</v>
      </c>
      <c r="D48" s="55"/>
      <c r="E48" s="54">
        <v>27330</v>
      </c>
      <c r="F48" s="92">
        <v>7900</v>
      </c>
      <c r="G48" s="55">
        <f>22350-F48</f>
        <v>14450</v>
      </c>
      <c r="H48" s="55">
        <f>22350-F48-G48</f>
        <v>0</v>
      </c>
      <c r="I48" s="55">
        <f t="shared" si="2"/>
        <v>4980</v>
      </c>
    </row>
    <row r="49" spans="1:26" x14ac:dyDescent="0.35">
      <c r="A49" s="23" t="s">
        <v>39</v>
      </c>
      <c r="B49" s="22">
        <v>1130</v>
      </c>
      <c r="C49" s="55">
        <v>960120</v>
      </c>
      <c r="D49" s="55"/>
      <c r="E49" s="54">
        <v>850000</v>
      </c>
      <c r="F49" s="92">
        <v>105100</v>
      </c>
      <c r="G49" s="55">
        <f>592280-F49</f>
        <v>487180</v>
      </c>
      <c r="H49" s="55">
        <f>765000-F49-G49</f>
        <v>172720</v>
      </c>
      <c r="I49" s="55">
        <f t="shared" si="2"/>
        <v>85000</v>
      </c>
    </row>
    <row r="50" spans="1:26" x14ac:dyDescent="0.35">
      <c r="A50" s="19" t="s">
        <v>40</v>
      </c>
      <c r="B50" s="22">
        <v>1140</v>
      </c>
      <c r="C50" s="55">
        <v>1992.97</v>
      </c>
      <c r="D50" s="55"/>
      <c r="E50" s="54">
        <f>SUM(F50:I50)</f>
        <v>42507.519999999997</v>
      </c>
      <c r="F50" s="92">
        <v>30797.200000000001</v>
      </c>
      <c r="G50" s="55">
        <f>42507.52-F50</f>
        <v>11710.319999999996</v>
      </c>
      <c r="H50" s="55">
        <v>0</v>
      </c>
      <c r="I50" s="55">
        <v>0</v>
      </c>
    </row>
    <row r="51" spans="1:26" x14ac:dyDescent="0.35">
      <c r="A51" s="24" t="s">
        <v>41</v>
      </c>
      <c r="B51" s="25">
        <v>1160</v>
      </c>
      <c r="C51" s="54">
        <v>174856832.278</v>
      </c>
      <c r="D51" s="54">
        <f>D24+D27+D29+D54+D65</f>
        <v>0</v>
      </c>
      <c r="E51" s="54">
        <f>SUM(F51:I51)</f>
        <v>137318147.95999998</v>
      </c>
      <c r="F51" s="54">
        <f>F24+F27+F29+F54+F65</f>
        <v>28046022.52</v>
      </c>
      <c r="G51" s="54">
        <f>G24+G27+G29+G54+G65</f>
        <v>44712551.439999998</v>
      </c>
      <c r="H51" s="54">
        <f>H24+H27+H29+H54+H65</f>
        <v>25907201.640000001</v>
      </c>
      <c r="I51" s="54">
        <f>I24+I27+I29+I54+I65</f>
        <v>38652372.359999999</v>
      </c>
    </row>
    <row r="52" spans="1:26" x14ac:dyDescent="0.35">
      <c r="A52" s="24" t="s">
        <v>42</v>
      </c>
      <c r="B52" s="25">
        <v>1170</v>
      </c>
      <c r="C52" s="54">
        <v>171720327.27999997</v>
      </c>
      <c r="D52" s="54">
        <f>D40+D41+D42+D43+D44+D45+D46+D47+D48+D49+D50+D57+D70</f>
        <v>0</v>
      </c>
      <c r="E52" s="54">
        <f>SUM(F52:I52)</f>
        <v>123486600.04000002</v>
      </c>
      <c r="F52" s="54">
        <f>F40+F41+F42+F43+F44+F45+F46+F47+F48+F49+F50+F57+F70</f>
        <v>23090706.550999995</v>
      </c>
      <c r="G52" s="54">
        <f>G40+G41+G42+G43+G44+G45+G46+G47+G48+G49+G50+G57+G70</f>
        <v>39554747.528999999</v>
      </c>
      <c r="H52" s="54">
        <f>H40+H41+H42+H43+H44+H45+H46+H47+H48+H49+H50+H57+H70</f>
        <v>27305626.970000006</v>
      </c>
      <c r="I52" s="54">
        <f>I40+I41+I42+I43+I44+I45+I46+I47+I48+I49+I50+I57+I70</f>
        <v>33535518.99000001</v>
      </c>
    </row>
    <row r="53" spans="1:26" x14ac:dyDescent="0.35">
      <c r="A53" s="205" t="s">
        <v>50</v>
      </c>
      <c r="B53" s="206"/>
      <c r="C53" s="206"/>
      <c r="D53" s="206"/>
      <c r="E53" s="206"/>
      <c r="F53" s="206"/>
      <c r="G53" s="206"/>
      <c r="H53" s="206"/>
      <c r="I53" s="207"/>
    </row>
    <row r="54" spans="1:26" x14ac:dyDescent="0.35">
      <c r="A54" s="56" t="s">
        <v>86</v>
      </c>
      <c r="B54" s="60">
        <v>2010</v>
      </c>
      <c r="C54" s="84">
        <v>0</v>
      </c>
      <c r="D54" s="84">
        <f>D55</f>
        <v>0</v>
      </c>
      <c r="E54" s="84">
        <f>F54+G54+H54+I54</f>
        <v>0</v>
      </c>
      <c r="F54" s="84">
        <f>F55</f>
        <v>0</v>
      </c>
      <c r="G54" s="84">
        <f>G55</f>
        <v>0</v>
      </c>
      <c r="H54" s="84">
        <f>H55</f>
        <v>0</v>
      </c>
      <c r="I54" s="84">
        <f>I55</f>
        <v>0</v>
      </c>
    </row>
    <row r="55" spans="1:26" ht="36" customHeight="1" x14ac:dyDescent="0.35">
      <c r="A55" s="41" t="s">
        <v>119</v>
      </c>
      <c r="B55" s="17">
        <v>2011</v>
      </c>
      <c r="C55" s="84">
        <v>0</v>
      </c>
      <c r="D55" s="84"/>
      <c r="E55" s="84">
        <f>F55+G55+H55+I55</f>
        <v>0</v>
      </c>
      <c r="F55" s="84">
        <v>0</v>
      </c>
      <c r="G55" s="84">
        <v>0</v>
      </c>
      <c r="H55" s="84">
        <v>0</v>
      </c>
      <c r="I55" s="84">
        <v>0</v>
      </c>
      <c r="J55" s="223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18" customHeight="1" x14ac:dyDescent="0.35">
      <c r="A56" s="41" t="s">
        <v>89</v>
      </c>
      <c r="B56" s="17">
        <v>2012</v>
      </c>
      <c r="C56" s="84">
        <v>0</v>
      </c>
      <c r="D56" s="84"/>
      <c r="E56" s="84">
        <f>F56+G56+H56+I56</f>
        <v>0</v>
      </c>
      <c r="F56" s="84">
        <v>0</v>
      </c>
      <c r="G56" s="84">
        <v>0</v>
      </c>
      <c r="H56" s="84">
        <v>0</v>
      </c>
      <c r="I56" s="84">
        <v>0</v>
      </c>
      <c r="J56" s="221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</row>
    <row r="57" spans="1:26" ht="18" customHeight="1" x14ac:dyDescent="0.35">
      <c r="A57" s="72" t="s">
        <v>112</v>
      </c>
      <c r="B57" s="70">
        <v>3010</v>
      </c>
      <c r="C57" s="93">
        <v>3329278.87</v>
      </c>
      <c r="D57" s="93">
        <f>D58+D59+D60+D61+D62+D63</f>
        <v>0</v>
      </c>
      <c r="E57" s="93">
        <f>F57+G57+H57+I57</f>
        <v>8813315.0199999996</v>
      </c>
      <c r="F57" s="93">
        <f>F58+F59+F60+F61+F62+F63</f>
        <v>2194337.04</v>
      </c>
      <c r="G57" s="93">
        <f>G58+G59+G60+G61+G62+G63</f>
        <v>1419741.6500000001</v>
      </c>
      <c r="H57" s="93">
        <f>H58+H59+H60+H61+H62+H63</f>
        <v>5198147.6899999995</v>
      </c>
      <c r="I57" s="93">
        <f>I58+I59+I60+I61+I62+I63</f>
        <v>1088.6400000000001</v>
      </c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x14ac:dyDescent="0.35">
      <c r="A58" s="19" t="s">
        <v>51</v>
      </c>
      <c r="B58" s="22">
        <v>3011</v>
      </c>
      <c r="C58" s="55">
        <v>2415821.7400000002</v>
      </c>
      <c r="D58" s="55"/>
      <c r="E58" s="54">
        <v>0</v>
      </c>
      <c r="F58" s="92">
        <v>0</v>
      </c>
      <c r="G58" s="109">
        <v>0</v>
      </c>
      <c r="H58" s="109">
        <v>0</v>
      </c>
      <c r="I58" s="55">
        <f>E58-F58-G58-H58</f>
        <v>0</v>
      </c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x14ac:dyDescent="0.35">
      <c r="A59" s="19" t="s">
        <v>113</v>
      </c>
      <c r="B59" s="22">
        <v>3012</v>
      </c>
      <c r="C59" s="55">
        <v>344037.31</v>
      </c>
      <c r="D59" s="55"/>
      <c r="E59" s="54">
        <f>6333175.6-E60</f>
        <v>5895896.9799999995</v>
      </c>
      <c r="F59" s="92">
        <v>2194337.04</v>
      </c>
      <c r="G59" s="109">
        <v>1308313.81</v>
      </c>
      <c r="H59" s="109">
        <v>4871633.79</v>
      </c>
      <c r="I59" s="55">
        <v>0</v>
      </c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0" spans="1:26" x14ac:dyDescent="0.35">
      <c r="A60" s="19" t="s">
        <v>114</v>
      </c>
      <c r="B60" s="22">
        <v>3013</v>
      </c>
      <c r="C60" s="55">
        <v>0</v>
      </c>
      <c r="D60" s="55"/>
      <c r="E60" s="54">
        <f>SUM(F60:I60)</f>
        <v>437278.62</v>
      </c>
      <c r="F60" s="92">
        <v>0</v>
      </c>
      <c r="G60" s="109">
        <v>111315.28</v>
      </c>
      <c r="H60" s="109">
        <v>325963.34000000003</v>
      </c>
      <c r="I60" s="55">
        <v>0</v>
      </c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spans="1:26" x14ac:dyDescent="0.35">
      <c r="A61" s="19" t="s">
        <v>115</v>
      </c>
      <c r="B61" s="22">
        <v>3014</v>
      </c>
      <c r="C61" s="55">
        <v>17517</v>
      </c>
      <c r="D61" s="55"/>
      <c r="E61" s="54">
        <v>1751.76</v>
      </c>
      <c r="F61" s="92">
        <v>0</v>
      </c>
      <c r="G61" s="109">
        <v>112.56</v>
      </c>
      <c r="H61" s="109">
        <v>550.55999999999995</v>
      </c>
      <c r="I61" s="55">
        <f>E61-F61-G61-H61</f>
        <v>1088.6400000000001</v>
      </c>
    </row>
    <row r="62" spans="1:26" ht="36" customHeight="1" x14ac:dyDescent="0.35">
      <c r="A62" s="23" t="s">
        <v>52</v>
      </c>
      <c r="B62" s="22">
        <v>3015</v>
      </c>
      <c r="C62" s="55">
        <v>0</v>
      </c>
      <c r="D62" s="55"/>
      <c r="E62" s="54">
        <v>0</v>
      </c>
      <c r="F62" s="92">
        <v>0</v>
      </c>
      <c r="G62" s="109">
        <v>0</v>
      </c>
      <c r="H62" s="109">
        <v>0</v>
      </c>
      <c r="I62" s="55">
        <f>E62-F62-G62-H62</f>
        <v>0</v>
      </c>
    </row>
    <row r="63" spans="1:26" x14ac:dyDescent="0.35">
      <c r="A63" s="19" t="s">
        <v>16</v>
      </c>
      <c r="B63" s="22">
        <v>3016</v>
      </c>
      <c r="C63" s="55">
        <v>551902.82000000007</v>
      </c>
      <c r="D63" s="55"/>
      <c r="E63" s="54">
        <v>0</v>
      </c>
      <c r="F63" s="92">
        <v>0</v>
      </c>
      <c r="G63" s="109">
        <v>0</v>
      </c>
      <c r="H63" s="109">
        <v>0</v>
      </c>
      <c r="I63" s="55">
        <f>E63-F63-G63-H63</f>
        <v>0</v>
      </c>
    </row>
    <row r="64" spans="1:26" ht="16.95" customHeight="1" x14ac:dyDescent="0.35">
      <c r="A64" s="205" t="s">
        <v>54</v>
      </c>
      <c r="B64" s="206"/>
      <c r="C64" s="206"/>
      <c r="D64" s="206"/>
      <c r="E64" s="206"/>
      <c r="F64" s="206"/>
      <c r="G64" s="206"/>
      <c r="H64" s="206"/>
      <c r="I64" s="208"/>
    </row>
    <row r="65" spans="1:10" ht="16.95" customHeight="1" x14ac:dyDescent="0.35">
      <c r="A65" s="27" t="s">
        <v>55</v>
      </c>
      <c r="B65" s="60">
        <v>4010</v>
      </c>
      <c r="C65" s="94">
        <f>C66+C67+C68+C69</f>
        <v>0</v>
      </c>
      <c r="D65" s="94">
        <f>D66+D67+D68+D69</f>
        <v>0</v>
      </c>
      <c r="E65" s="54">
        <f>F65+G65+H65+I65</f>
        <v>0</v>
      </c>
      <c r="F65" s="94">
        <f>F66+F67+F68+F69</f>
        <v>0</v>
      </c>
      <c r="G65" s="94">
        <f>G66+G67+G68+G69</f>
        <v>0</v>
      </c>
      <c r="H65" s="94">
        <f>H66+H67+H68+H69</f>
        <v>0</v>
      </c>
      <c r="I65" s="94">
        <f>I66+I67+I68+I69</f>
        <v>0</v>
      </c>
    </row>
    <row r="66" spans="1:10" ht="16.95" customHeight="1" x14ac:dyDescent="0.35">
      <c r="A66" s="19" t="s">
        <v>56</v>
      </c>
      <c r="B66" s="20">
        <v>4011</v>
      </c>
      <c r="C66" s="55"/>
      <c r="D66" s="55"/>
      <c r="E66" s="54">
        <f t="shared" ref="E66:E73" si="3">F66+G66+H66+I66</f>
        <v>0</v>
      </c>
      <c r="F66" s="92"/>
      <c r="G66" s="109"/>
      <c r="H66" s="109"/>
      <c r="I66" s="109"/>
    </row>
    <row r="67" spans="1:10" ht="16.95" customHeight="1" x14ac:dyDescent="0.35">
      <c r="A67" s="19" t="s">
        <v>57</v>
      </c>
      <c r="B67" s="22">
        <v>4012</v>
      </c>
      <c r="C67" s="55"/>
      <c r="D67" s="55"/>
      <c r="E67" s="54">
        <f t="shared" si="3"/>
        <v>0</v>
      </c>
      <c r="F67" s="92"/>
      <c r="G67" s="109"/>
      <c r="H67" s="109"/>
      <c r="I67" s="109"/>
    </row>
    <row r="68" spans="1:10" ht="16.95" customHeight="1" x14ac:dyDescent="0.35">
      <c r="A68" s="19" t="s">
        <v>58</v>
      </c>
      <c r="B68" s="22">
        <v>4013</v>
      </c>
      <c r="C68" s="55"/>
      <c r="D68" s="55"/>
      <c r="E68" s="54">
        <f t="shared" si="3"/>
        <v>0</v>
      </c>
      <c r="F68" s="92"/>
      <c r="G68" s="109"/>
      <c r="H68" s="109"/>
      <c r="I68" s="109"/>
    </row>
    <row r="69" spans="1:10" ht="16.95" customHeight="1" x14ac:dyDescent="0.35">
      <c r="A69" s="19" t="s">
        <v>59</v>
      </c>
      <c r="B69" s="22">
        <v>4020</v>
      </c>
      <c r="C69" s="55"/>
      <c r="D69" s="55"/>
      <c r="E69" s="54">
        <f t="shared" si="3"/>
        <v>0</v>
      </c>
      <c r="F69" s="92"/>
      <c r="G69" s="109"/>
      <c r="H69" s="109"/>
      <c r="I69" s="109"/>
    </row>
    <row r="70" spans="1:10" x14ac:dyDescent="0.35">
      <c r="A70" s="24" t="s">
        <v>60</v>
      </c>
      <c r="B70" s="25">
        <v>4030</v>
      </c>
      <c r="C70" s="54">
        <f>C71+C72+C73+C74</f>
        <v>0</v>
      </c>
      <c r="D70" s="54">
        <f>D71+D72+D73+D74</f>
        <v>0</v>
      </c>
      <c r="E70" s="54">
        <f>F70+G70+H70+I70</f>
        <v>0</v>
      </c>
      <c r="F70" s="54">
        <f>F71+F72+F73+F74</f>
        <v>0</v>
      </c>
      <c r="G70" s="54">
        <f>G71+G72+G73+G74</f>
        <v>0</v>
      </c>
      <c r="H70" s="54">
        <f>H71+H72+H73+H74</f>
        <v>0</v>
      </c>
      <c r="I70" s="54">
        <f>I71+I72+I73+I74</f>
        <v>0</v>
      </c>
    </row>
    <row r="71" spans="1:10" x14ac:dyDescent="0.35">
      <c r="A71" s="19" t="s">
        <v>56</v>
      </c>
      <c r="B71" s="22">
        <v>4031</v>
      </c>
      <c r="C71" s="55"/>
      <c r="D71" s="55"/>
      <c r="E71" s="54">
        <f t="shared" si="3"/>
        <v>0</v>
      </c>
      <c r="F71" s="92"/>
      <c r="G71" s="109"/>
      <c r="H71" s="109"/>
      <c r="I71" s="109"/>
    </row>
    <row r="72" spans="1:10" x14ac:dyDescent="0.35">
      <c r="A72" s="19" t="s">
        <v>57</v>
      </c>
      <c r="B72" s="22">
        <v>4032</v>
      </c>
      <c r="C72" s="55"/>
      <c r="D72" s="55"/>
      <c r="E72" s="54">
        <f t="shared" si="3"/>
        <v>0</v>
      </c>
      <c r="F72" s="92"/>
      <c r="G72" s="109"/>
      <c r="H72" s="109"/>
      <c r="I72" s="109"/>
    </row>
    <row r="73" spans="1:10" x14ac:dyDescent="0.35">
      <c r="A73" s="19" t="s">
        <v>58</v>
      </c>
      <c r="B73" s="22">
        <v>4033</v>
      </c>
      <c r="C73" s="55"/>
      <c r="D73" s="55"/>
      <c r="E73" s="54">
        <f t="shared" si="3"/>
        <v>0</v>
      </c>
      <c r="F73" s="92"/>
      <c r="G73" s="109"/>
      <c r="H73" s="109"/>
      <c r="I73" s="109"/>
    </row>
    <row r="74" spans="1:10" x14ac:dyDescent="0.35">
      <c r="A74" s="23" t="s">
        <v>61</v>
      </c>
      <c r="B74" s="22">
        <v>4040</v>
      </c>
      <c r="C74" s="55"/>
      <c r="D74" s="55"/>
      <c r="E74" s="54">
        <f>F74+G74+H74+I74</f>
        <v>0</v>
      </c>
      <c r="F74" s="92"/>
      <c r="G74" s="109"/>
      <c r="H74" s="109"/>
      <c r="I74" s="109"/>
    </row>
    <row r="75" spans="1:10" x14ac:dyDescent="0.35">
      <c r="A75" s="209" t="s">
        <v>90</v>
      </c>
      <c r="B75" s="210"/>
      <c r="C75" s="210"/>
      <c r="D75" s="210"/>
      <c r="E75" s="210"/>
      <c r="F75" s="210"/>
      <c r="G75" s="210"/>
      <c r="H75" s="210"/>
      <c r="I75" s="211"/>
    </row>
    <row r="76" spans="1:10" x14ac:dyDescent="0.35">
      <c r="A76" s="171" t="s">
        <v>83</v>
      </c>
      <c r="B76" s="60">
        <v>5010</v>
      </c>
      <c r="C76" s="84">
        <f>C51-C52</f>
        <v>3136504.9980000257</v>
      </c>
      <c r="D76" s="84">
        <f>D51-D52</f>
        <v>0</v>
      </c>
      <c r="E76" s="54">
        <f>F76+G76+H76+I76</f>
        <v>13831547.919999987</v>
      </c>
      <c r="F76" s="84">
        <f>F51-F52</f>
        <v>4955315.9690000042</v>
      </c>
      <c r="G76" s="84">
        <f>G51-G52</f>
        <v>5157803.9109999985</v>
      </c>
      <c r="H76" s="84">
        <f>H51-H52</f>
        <v>-1398425.3300000057</v>
      </c>
      <c r="I76" s="84">
        <f>I51-I52</f>
        <v>5116853.3699999899</v>
      </c>
      <c r="J76" s="172"/>
    </row>
    <row r="77" spans="1:10" x14ac:dyDescent="0.35">
      <c r="A77" s="173" t="s">
        <v>84</v>
      </c>
      <c r="B77" s="17">
        <v>5011</v>
      </c>
      <c r="C77" s="84">
        <f t="shared" ref="C77:I77" si="4">C76-C78</f>
        <v>3136504.9980000257</v>
      </c>
      <c r="D77" s="84">
        <f t="shared" si="4"/>
        <v>0</v>
      </c>
      <c r="E77" s="84">
        <f t="shared" si="4"/>
        <v>13831547.919999987</v>
      </c>
      <c r="F77" s="84">
        <f t="shared" si="4"/>
        <v>4955315.9690000042</v>
      </c>
      <c r="G77" s="84">
        <f t="shared" si="4"/>
        <v>5157803.9109999985</v>
      </c>
      <c r="H77" s="84">
        <f t="shared" si="4"/>
        <v>-1398425.3300000057</v>
      </c>
      <c r="I77" s="84">
        <f t="shared" si="4"/>
        <v>5116853.3699999899</v>
      </c>
    </row>
    <row r="78" spans="1:10" x14ac:dyDescent="0.35">
      <c r="A78" s="174" t="s">
        <v>85</v>
      </c>
      <c r="B78" s="17">
        <v>5012</v>
      </c>
      <c r="C78" s="84">
        <v>0</v>
      </c>
      <c r="D78" s="84">
        <v>0</v>
      </c>
      <c r="E78" s="54">
        <f>F78+G78+H78+I78</f>
        <v>0</v>
      </c>
      <c r="F78" s="84">
        <v>0</v>
      </c>
      <c r="G78" s="110">
        <v>0</v>
      </c>
      <c r="H78" s="110">
        <v>0</v>
      </c>
      <c r="I78" s="110">
        <v>0</v>
      </c>
    </row>
    <row r="79" spans="1:10" x14ac:dyDescent="0.35">
      <c r="A79" s="205" t="s">
        <v>91</v>
      </c>
      <c r="B79" s="206"/>
      <c r="C79" s="206"/>
      <c r="D79" s="206"/>
      <c r="E79" s="206"/>
      <c r="F79" s="206"/>
      <c r="G79" s="206"/>
      <c r="H79" s="206"/>
      <c r="I79" s="207"/>
    </row>
    <row r="80" spans="1:10" x14ac:dyDescent="0.35">
      <c r="A80" s="56" t="s">
        <v>49</v>
      </c>
      <c r="B80" s="60">
        <v>6010</v>
      </c>
      <c r="C80" s="84">
        <v>33363830.100000001</v>
      </c>
      <c r="D80" s="84">
        <f>D81+D82+D83+D84+D85+D86</f>
        <v>0</v>
      </c>
      <c r="E80" s="84">
        <v>29108686.899999999</v>
      </c>
      <c r="F80" s="84">
        <f>F81+F82+F83+F84+F85+F86</f>
        <v>5171774.1009999998</v>
      </c>
      <c r="G80" s="84">
        <f>G81+G82+G83+G84+G85+G86</f>
        <v>5584680.2489999998</v>
      </c>
      <c r="H80" s="84">
        <f>H81+H82+H83+H84+H85+H86</f>
        <v>6513548.1700000009</v>
      </c>
      <c r="I80" s="84">
        <f>I81+I82+I83+I84+I85+I86</f>
        <v>8985085.2100000028</v>
      </c>
    </row>
    <row r="81" spans="1:11" x14ac:dyDescent="0.35">
      <c r="A81" s="38" t="s">
        <v>43</v>
      </c>
      <c r="B81" s="20">
        <v>6011</v>
      </c>
      <c r="C81" s="53">
        <v>0</v>
      </c>
      <c r="D81" s="53"/>
      <c r="E81" s="84">
        <v>0</v>
      </c>
      <c r="F81" s="92">
        <v>0</v>
      </c>
      <c r="G81" s="55">
        <f t="shared" ref="G81:G86" si="5">(E81-F81)/3</f>
        <v>0</v>
      </c>
      <c r="H81" s="55">
        <f t="shared" ref="H81:H86" si="6">(E81-F81-G81)/2</f>
        <v>0</v>
      </c>
      <c r="I81" s="55">
        <f t="shared" ref="I81:I86" si="7">E81-F81-G81-H81</f>
        <v>0</v>
      </c>
      <c r="K81" s="175"/>
    </row>
    <row r="82" spans="1:11" x14ac:dyDescent="0.35">
      <c r="A82" s="26" t="s">
        <v>44</v>
      </c>
      <c r="B82" s="20">
        <v>6012</v>
      </c>
      <c r="C82" s="55">
        <v>1032532.06</v>
      </c>
      <c r="D82" s="55"/>
      <c r="E82" s="84">
        <v>1052121.22</v>
      </c>
      <c r="F82" s="92">
        <v>181930.81</v>
      </c>
      <c r="G82" s="55">
        <v>205674.97</v>
      </c>
      <c r="H82" s="55">
        <v>232350.05</v>
      </c>
      <c r="I82" s="55">
        <f t="shared" si="7"/>
        <v>432165.38999999996</v>
      </c>
      <c r="K82" s="175"/>
    </row>
    <row r="83" spans="1:11" x14ac:dyDescent="0.35">
      <c r="A83" s="26" t="s">
        <v>45</v>
      </c>
      <c r="B83" s="20">
        <v>6013</v>
      </c>
      <c r="C83" s="55">
        <v>5312.81</v>
      </c>
      <c r="D83" s="55"/>
      <c r="E83" s="84">
        <v>0</v>
      </c>
      <c r="F83" s="92">
        <v>0</v>
      </c>
      <c r="G83" s="55">
        <f t="shared" si="5"/>
        <v>0</v>
      </c>
      <c r="H83" s="55">
        <f t="shared" si="6"/>
        <v>0</v>
      </c>
      <c r="I83" s="55">
        <f t="shared" si="7"/>
        <v>0</v>
      </c>
    </row>
    <row r="84" spans="1:11" x14ac:dyDescent="0.35">
      <c r="A84" s="26" t="s">
        <v>46</v>
      </c>
      <c r="B84" s="20">
        <v>6014</v>
      </c>
      <c r="C84" s="55">
        <v>12367844.850000001</v>
      </c>
      <c r="D84" s="55"/>
      <c r="E84" s="84">
        <v>12625454.68</v>
      </c>
      <c r="F84" s="92">
        <v>2183168.5</v>
      </c>
      <c r="G84" s="55">
        <v>2438829.61</v>
      </c>
      <c r="H84" s="55">
        <v>2788325.18</v>
      </c>
      <c r="I84" s="55">
        <f t="shared" si="7"/>
        <v>5215131.3900000006</v>
      </c>
    </row>
    <row r="85" spans="1:11" ht="16.5" customHeight="1" x14ac:dyDescent="0.35">
      <c r="A85" s="71" t="s">
        <v>47</v>
      </c>
      <c r="B85" s="20">
        <v>6015</v>
      </c>
      <c r="C85" s="96">
        <v>19958140.379999999</v>
      </c>
      <c r="D85" s="96"/>
      <c r="E85" s="84">
        <f>E41</f>
        <v>12577511.830000002</v>
      </c>
      <c r="F85" s="89">
        <f>F41</f>
        <v>2806674.7909999997</v>
      </c>
      <c r="G85" s="89">
        <f>G41</f>
        <v>2940175.6690000002</v>
      </c>
      <c r="H85" s="89">
        <f>H41</f>
        <v>3492872.9400000009</v>
      </c>
      <c r="I85" s="89">
        <f>I41</f>
        <v>3337788.430000002</v>
      </c>
    </row>
    <row r="86" spans="1:11" ht="16.5" customHeight="1" x14ac:dyDescent="0.35">
      <c r="A86" s="28" t="s">
        <v>48</v>
      </c>
      <c r="B86" s="20">
        <v>6016</v>
      </c>
      <c r="C86" s="89">
        <v>0</v>
      </c>
      <c r="D86" s="89"/>
      <c r="E86" s="84">
        <v>0</v>
      </c>
      <c r="F86" s="92">
        <v>0</v>
      </c>
      <c r="G86" s="55">
        <f t="shared" si="5"/>
        <v>0</v>
      </c>
      <c r="H86" s="55">
        <f t="shared" si="6"/>
        <v>0</v>
      </c>
      <c r="I86" s="55">
        <f t="shared" si="7"/>
        <v>0</v>
      </c>
    </row>
    <row r="87" spans="1:11" ht="22.2" customHeight="1" x14ac:dyDescent="0.35">
      <c r="A87" s="212" t="s">
        <v>92</v>
      </c>
      <c r="B87" s="213"/>
      <c r="C87" s="213"/>
      <c r="D87" s="213"/>
      <c r="E87" s="213"/>
      <c r="F87" s="213"/>
      <c r="G87" s="213"/>
      <c r="H87" s="213"/>
      <c r="I87" s="214"/>
    </row>
    <row r="88" spans="1:11" x14ac:dyDescent="0.35">
      <c r="A88" s="41" t="s">
        <v>75</v>
      </c>
      <c r="B88" s="20">
        <v>7010</v>
      </c>
      <c r="C88" s="30"/>
      <c r="D88" s="30"/>
      <c r="E88" s="120"/>
      <c r="F88" s="30">
        <v>357</v>
      </c>
      <c r="G88" s="30">
        <v>357</v>
      </c>
      <c r="H88" s="30">
        <v>357</v>
      </c>
      <c r="I88" s="30">
        <v>357</v>
      </c>
    </row>
    <row r="89" spans="1:11" x14ac:dyDescent="0.35">
      <c r="A89" s="41"/>
      <c r="B89" s="20"/>
      <c r="C89" s="30"/>
      <c r="D89" s="30"/>
      <c r="E89" s="120"/>
      <c r="F89" s="30" t="s">
        <v>93</v>
      </c>
      <c r="G89" s="30" t="s">
        <v>95</v>
      </c>
      <c r="H89" s="30" t="s">
        <v>96</v>
      </c>
      <c r="I89" s="30" t="s">
        <v>94</v>
      </c>
      <c r="J89" s="172"/>
    </row>
    <row r="90" spans="1:11" x14ac:dyDescent="0.35">
      <c r="A90" s="41" t="s">
        <v>53</v>
      </c>
      <c r="B90" s="22">
        <v>7011</v>
      </c>
      <c r="C90" s="15">
        <v>79085992.590000004</v>
      </c>
      <c r="D90" s="15"/>
      <c r="E90" s="13"/>
      <c r="F90" s="55">
        <v>74944067.280000001</v>
      </c>
      <c r="G90" s="55">
        <v>80087767.670000002</v>
      </c>
      <c r="H90" s="15">
        <v>81589787.659999996</v>
      </c>
      <c r="I90" s="21">
        <v>81392836.180000007</v>
      </c>
    </row>
    <row r="91" spans="1:11" x14ac:dyDescent="0.35">
      <c r="A91" s="41" t="s">
        <v>76</v>
      </c>
      <c r="B91" s="22">
        <v>7012</v>
      </c>
      <c r="C91" s="15"/>
      <c r="D91" s="15"/>
      <c r="E91" s="13"/>
      <c r="F91" s="92">
        <v>0</v>
      </c>
      <c r="G91" s="109">
        <v>0</v>
      </c>
      <c r="H91" s="111">
        <v>0</v>
      </c>
      <c r="I91" s="111">
        <v>0</v>
      </c>
    </row>
    <row r="92" spans="1:11" x14ac:dyDescent="0.35">
      <c r="A92" s="41" t="s">
        <v>77</v>
      </c>
      <c r="B92" s="22">
        <v>7013</v>
      </c>
      <c r="C92" s="15"/>
      <c r="D92" s="15"/>
      <c r="E92" s="13"/>
      <c r="F92" s="92">
        <v>0</v>
      </c>
      <c r="G92" s="109">
        <v>0</v>
      </c>
      <c r="H92" s="111">
        <v>0</v>
      </c>
      <c r="I92" s="111">
        <v>0</v>
      </c>
    </row>
    <row r="93" spans="1:11" x14ac:dyDescent="0.35">
      <c r="A93" s="41" t="s">
        <v>78</v>
      </c>
      <c r="B93" s="44">
        <v>7016</v>
      </c>
      <c r="C93" s="45"/>
      <c r="D93" s="45"/>
      <c r="E93" s="121"/>
      <c r="F93" s="92">
        <v>3631904</v>
      </c>
      <c r="G93" s="108">
        <v>6631199.8700000001</v>
      </c>
      <c r="H93" s="112">
        <v>3763544.33</v>
      </c>
      <c r="I93" s="112">
        <v>3046919.35</v>
      </c>
    </row>
    <row r="94" spans="1:11" s="176" customFormat="1" x14ac:dyDescent="0.35">
      <c r="A94" s="41" t="s">
        <v>79</v>
      </c>
      <c r="B94" s="17">
        <v>7020</v>
      </c>
      <c r="C94" s="59"/>
      <c r="D94" s="59"/>
      <c r="E94" s="59"/>
      <c r="F94" s="89">
        <v>75309.19</v>
      </c>
      <c r="G94" s="109">
        <v>4040270.28</v>
      </c>
      <c r="H94" s="111">
        <v>81080</v>
      </c>
      <c r="I94" s="111">
        <v>0</v>
      </c>
    </row>
    <row r="95" spans="1:11" x14ac:dyDescent="0.35">
      <c r="A95" s="42"/>
      <c r="B95" s="39"/>
      <c r="C95" s="40"/>
      <c r="D95" s="40"/>
      <c r="E95" s="122"/>
      <c r="F95" s="40"/>
      <c r="G95" s="113"/>
      <c r="H95" s="113"/>
      <c r="I95" s="113"/>
    </row>
    <row r="96" spans="1:11" x14ac:dyDescent="0.35">
      <c r="A96" s="32" t="s">
        <v>17</v>
      </c>
      <c r="B96" s="33"/>
      <c r="C96" s="135"/>
      <c r="D96" s="114"/>
      <c r="E96" s="215" t="s">
        <v>122</v>
      </c>
      <c r="F96" s="215"/>
      <c r="G96" s="115"/>
    </row>
    <row r="97" spans="1:8" x14ac:dyDescent="0.35">
      <c r="A97" s="32"/>
      <c r="B97" s="33"/>
      <c r="C97" s="134" t="s">
        <v>18</v>
      </c>
      <c r="D97" s="204" t="s">
        <v>19</v>
      </c>
      <c r="E97" s="204"/>
      <c r="F97" s="204"/>
    </row>
    <row r="98" spans="1:8" ht="17.25" customHeight="1" x14ac:dyDescent="0.35">
      <c r="A98" s="32" t="s">
        <v>20</v>
      </c>
      <c r="B98" s="33"/>
      <c r="C98" s="135"/>
      <c r="D98" s="177"/>
      <c r="E98" s="215" t="s">
        <v>126</v>
      </c>
      <c r="F98" s="215"/>
    </row>
    <row r="99" spans="1:8" ht="15.75" customHeight="1" x14ac:dyDescent="0.35">
      <c r="A99" s="32"/>
      <c r="B99" s="33"/>
      <c r="C99" s="134" t="s">
        <v>18</v>
      </c>
      <c r="D99" s="204" t="s">
        <v>19</v>
      </c>
      <c r="E99" s="204"/>
      <c r="F99" s="204"/>
    </row>
    <row r="100" spans="1:8" ht="13.95" customHeight="1" x14ac:dyDescent="0.35"/>
    <row r="101" spans="1:8" ht="13.95" customHeight="1" x14ac:dyDescent="0.35"/>
    <row r="102" spans="1:8" x14ac:dyDescent="0.35">
      <c r="A102" s="138"/>
      <c r="B102" s="138"/>
      <c r="C102" s="123"/>
      <c r="D102" s="123"/>
      <c r="E102" s="179"/>
      <c r="F102" s="123"/>
      <c r="G102" s="123"/>
      <c r="H102" s="123"/>
    </row>
    <row r="103" spans="1:8" x14ac:dyDescent="0.35">
      <c r="A103" s="138"/>
      <c r="B103" s="138"/>
      <c r="C103" s="123"/>
      <c r="D103" s="123"/>
      <c r="E103" s="179"/>
      <c r="F103" s="123"/>
      <c r="G103" s="123"/>
      <c r="H103" s="123"/>
    </row>
    <row r="104" spans="1:8" x14ac:dyDescent="0.35">
      <c r="A104" s="138"/>
      <c r="B104" s="138"/>
      <c r="C104" s="123"/>
      <c r="D104" s="123"/>
      <c r="E104" s="179"/>
      <c r="F104" s="123"/>
      <c r="G104" s="123"/>
      <c r="H104" s="123"/>
    </row>
    <row r="105" spans="1:8" x14ac:dyDescent="0.35">
      <c r="A105" s="138"/>
      <c r="B105" s="138"/>
      <c r="C105" s="123"/>
      <c r="D105" s="123"/>
      <c r="E105" s="179"/>
      <c r="F105" s="123"/>
      <c r="G105" s="123"/>
      <c r="H105" s="123"/>
    </row>
    <row r="106" spans="1:8" x14ac:dyDescent="0.35">
      <c r="A106" s="138"/>
      <c r="B106" s="138"/>
      <c r="C106" s="123"/>
      <c r="D106" s="123"/>
      <c r="E106" s="179"/>
      <c r="F106" s="123"/>
      <c r="G106" s="123"/>
      <c r="H106" s="123"/>
    </row>
    <row r="107" spans="1:8" x14ac:dyDescent="0.35">
      <c r="A107" s="138"/>
      <c r="B107" s="138"/>
      <c r="C107" s="123"/>
      <c r="D107" s="123"/>
      <c r="E107" s="179"/>
      <c r="F107" s="123"/>
      <c r="G107" s="123"/>
      <c r="H107" s="123"/>
    </row>
  </sheetData>
  <mergeCells count="37">
    <mergeCell ref="A39:I39"/>
    <mergeCell ref="J24:P24"/>
    <mergeCell ref="D97:F97"/>
    <mergeCell ref="E98:F98"/>
    <mergeCell ref="J34:AB34"/>
    <mergeCell ref="J32:X32"/>
    <mergeCell ref="J57:Z60"/>
    <mergeCell ref="J56:Z56"/>
    <mergeCell ref="J55:Z55"/>
    <mergeCell ref="J25:X25"/>
    <mergeCell ref="J27:X27"/>
    <mergeCell ref="D99:F99"/>
    <mergeCell ref="A53:I53"/>
    <mergeCell ref="A64:I64"/>
    <mergeCell ref="A75:I75"/>
    <mergeCell ref="A79:I79"/>
    <mergeCell ref="A87:I87"/>
    <mergeCell ref="E96:F96"/>
    <mergeCell ref="D12:F12"/>
    <mergeCell ref="D2:I2"/>
    <mergeCell ref="D4:I4"/>
    <mergeCell ref="D5:I5"/>
    <mergeCell ref="D6:I6"/>
    <mergeCell ref="D7:I7"/>
    <mergeCell ref="J28:X28"/>
    <mergeCell ref="F19:I19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A22:I22"/>
    <mergeCell ref="A23:I23"/>
  </mergeCells>
  <phoneticPr fontId="0" type="noConversion"/>
  <printOptions horizontalCentered="1"/>
  <pageMargins left="0" right="0" top="0" bottom="0" header="0.39370078740157483" footer="0.19685039370078741"/>
  <pageSetup paperSize="9" scale="55" fitToHeight="2" orientation="landscape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91"/>
  <sheetViews>
    <sheetView view="pageBreakPreview" topLeftCell="B1" zoomScale="89" zoomScaleNormal="89" zoomScaleSheetLayoutView="89" workbookViewId="0">
      <selection activeCell="L74" sqref="L74"/>
    </sheetView>
  </sheetViews>
  <sheetFormatPr defaultColWidth="9.109375" defaultRowHeight="18" x14ac:dyDescent="0.35"/>
  <cols>
    <col min="1" max="1" width="80.6640625" style="8" customWidth="1"/>
    <col min="2" max="2" width="7.109375" style="8" customWidth="1"/>
    <col min="3" max="3" width="20.6640625" style="36" customWidth="1"/>
    <col min="4" max="6" width="20.6640625" style="2" customWidth="1"/>
    <col min="7" max="7" width="20.6640625" style="36" customWidth="1"/>
    <col min="8" max="10" width="20.6640625" style="2" customWidth="1"/>
    <col min="11" max="11" width="12.6640625" style="7" customWidth="1"/>
    <col min="12" max="12" width="14" style="7" customWidth="1"/>
    <col min="13" max="18" width="9.109375" style="7"/>
    <col min="19" max="16384" width="9.109375" style="6"/>
  </cols>
  <sheetData>
    <row r="1" spans="1:18" ht="16.5" customHeight="1" x14ac:dyDescent="0.35">
      <c r="A1" s="1"/>
      <c r="B1" s="1"/>
      <c r="C1" s="131"/>
      <c r="E1" s="3" t="s">
        <v>65</v>
      </c>
      <c r="F1" s="4"/>
      <c r="G1" s="127"/>
      <c r="H1" s="5"/>
    </row>
    <row r="2" spans="1:18" ht="13.5" customHeight="1" x14ac:dyDescent="0.35">
      <c r="A2" s="1"/>
      <c r="B2" s="1"/>
      <c r="C2" s="131"/>
      <c r="E2" s="239" t="s">
        <v>2</v>
      </c>
      <c r="F2" s="239"/>
      <c r="G2" s="239"/>
      <c r="H2" s="239"/>
      <c r="I2" s="239"/>
      <c r="J2" s="239"/>
    </row>
    <row r="3" spans="1:18" s="7" customFormat="1" ht="16.95" customHeight="1" x14ac:dyDescent="0.35">
      <c r="A3" s="46"/>
      <c r="B3" s="1"/>
      <c r="C3" s="131"/>
      <c r="D3" s="2"/>
      <c r="E3" s="47"/>
      <c r="F3" s="47"/>
      <c r="G3" s="128"/>
      <c r="H3" s="47"/>
      <c r="I3" s="47"/>
      <c r="J3" s="47"/>
    </row>
    <row r="4" spans="1:18" s="7" customFormat="1" ht="16.95" customHeight="1" x14ac:dyDescent="0.35">
      <c r="A4" s="240" t="s">
        <v>66</v>
      </c>
      <c r="B4" s="240"/>
      <c r="C4" s="240"/>
      <c r="D4" s="240"/>
      <c r="E4" s="240"/>
      <c r="F4" s="240"/>
      <c r="G4" s="240"/>
      <c r="H4" s="240"/>
      <c r="I4" s="240"/>
      <c r="J4" s="240"/>
      <c r="K4" s="101"/>
    </row>
    <row r="5" spans="1:18" s="7" customFormat="1" x14ac:dyDescent="0.35">
      <c r="A5" s="241" t="s">
        <v>125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8" s="7" customFormat="1" ht="13.2" customHeight="1" x14ac:dyDescent="0.35">
      <c r="A6" s="242" t="s">
        <v>5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8" s="7" customFormat="1" ht="20.399999999999999" customHeight="1" x14ac:dyDescent="0.35">
      <c r="A7" s="238" t="s">
        <v>130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8" s="7" customFormat="1" ht="19.5" customHeight="1" x14ac:dyDescent="0.35">
      <c r="A8" s="9"/>
      <c r="B8" s="10"/>
      <c r="C8" s="132"/>
      <c r="D8" s="10"/>
      <c r="E8" s="10"/>
      <c r="F8" s="10"/>
      <c r="G8" s="36"/>
      <c r="H8" s="2"/>
      <c r="I8" s="11"/>
      <c r="J8" s="2" t="s">
        <v>72</v>
      </c>
    </row>
    <row r="9" spans="1:18" s="7" customFormat="1" ht="30" customHeight="1" x14ac:dyDescent="0.35">
      <c r="A9" s="233" t="s">
        <v>6</v>
      </c>
      <c r="B9" s="233" t="s">
        <v>7</v>
      </c>
      <c r="C9" s="235" t="s">
        <v>132</v>
      </c>
      <c r="D9" s="236"/>
      <c r="E9" s="236"/>
      <c r="F9" s="237"/>
      <c r="G9" s="234" t="s">
        <v>71</v>
      </c>
      <c r="H9" s="234"/>
      <c r="I9" s="234"/>
      <c r="J9" s="234"/>
    </row>
    <row r="10" spans="1:18" s="7" customFormat="1" ht="36" customHeight="1" x14ac:dyDescent="0.35">
      <c r="A10" s="233"/>
      <c r="B10" s="233"/>
      <c r="C10" s="133" t="s">
        <v>68</v>
      </c>
      <c r="D10" s="49" t="s">
        <v>0</v>
      </c>
      <c r="E10" s="49" t="s">
        <v>69</v>
      </c>
      <c r="F10" s="50" t="s">
        <v>70</v>
      </c>
      <c r="G10" s="133" t="s">
        <v>68</v>
      </c>
      <c r="H10" s="49" t="s">
        <v>0</v>
      </c>
      <c r="I10" s="58" t="s">
        <v>69</v>
      </c>
      <c r="J10" s="57" t="s">
        <v>70</v>
      </c>
    </row>
    <row r="11" spans="1:18" s="107" customFormat="1" ht="13.8" x14ac:dyDescent="0.3">
      <c r="A11" s="104" t="s">
        <v>13</v>
      </c>
      <c r="B11" s="104" t="s">
        <v>14</v>
      </c>
      <c r="C11" s="125">
        <v>3</v>
      </c>
      <c r="D11" s="104">
        <v>4</v>
      </c>
      <c r="E11" s="104">
        <v>5</v>
      </c>
      <c r="F11" s="105">
        <v>6</v>
      </c>
      <c r="G11" s="129">
        <v>7</v>
      </c>
      <c r="H11" s="106">
        <v>8</v>
      </c>
      <c r="I11" s="106">
        <v>9</v>
      </c>
      <c r="J11" s="106">
        <v>10</v>
      </c>
    </row>
    <row r="12" spans="1:18" s="7" customFormat="1" ht="18.75" customHeight="1" x14ac:dyDescent="0.35">
      <c r="A12" s="243" t="s">
        <v>25</v>
      </c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8" s="7" customFormat="1" ht="33.75" customHeight="1" x14ac:dyDescent="0.35">
      <c r="A13" s="65" t="s">
        <v>26</v>
      </c>
      <c r="B13" s="73" t="s">
        <v>23</v>
      </c>
      <c r="C13" s="84">
        <f>C14+C15</f>
        <v>59447933.560000002</v>
      </c>
      <c r="D13" s="84">
        <f>D14+D15</f>
        <v>29580483.039999999</v>
      </c>
      <c r="E13" s="84">
        <f>D13-C13</f>
        <v>-29867450.520000003</v>
      </c>
      <c r="F13" s="75">
        <f>(D13/C13)*100</f>
        <v>49.758639650854839</v>
      </c>
      <c r="G13" s="84">
        <f>G14+G15</f>
        <v>126461054</v>
      </c>
      <c r="H13" s="84">
        <f>H14+H15</f>
        <v>96593603.479999989</v>
      </c>
      <c r="I13" s="84">
        <f>H13-G13</f>
        <v>-29867450.520000011</v>
      </c>
      <c r="J13" s="84">
        <f t="shared" ref="J13:J24" si="0">(H13/G13)*100</f>
        <v>76.382095850632396</v>
      </c>
    </row>
    <row r="14" spans="1:18" s="2" customFormat="1" x14ac:dyDescent="0.35">
      <c r="A14" s="14" t="s">
        <v>27</v>
      </c>
      <c r="B14" s="12" t="s">
        <v>28</v>
      </c>
      <c r="C14" s="55">
        <v>59447933.560000002</v>
      </c>
      <c r="D14" s="85">
        <f>'Додаток 1 Фін.план'!I25</f>
        <v>29580483.039999999</v>
      </c>
      <c r="E14" s="89">
        <f t="shared" ref="E14:E66" si="1">D14-C14</f>
        <v>-29867450.520000003</v>
      </c>
      <c r="F14" s="92">
        <f t="shared" ref="F14:F41" si="2">(D14/C14)*100</f>
        <v>49.758639650854839</v>
      </c>
      <c r="G14" s="55">
        <v>126461054</v>
      </c>
      <c r="H14" s="55">
        <f>'Додаток 1 Фін.план'!E25</f>
        <v>96593603.479999989</v>
      </c>
      <c r="I14" s="89">
        <f t="shared" ref="I14:I24" si="3">H14-G14</f>
        <v>-29867450.520000011</v>
      </c>
      <c r="J14" s="89">
        <f t="shared" si="0"/>
        <v>76.382095850632396</v>
      </c>
      <c r="K14" s="7"/>
      <c r="L14" s="7"/>
      <c r="M14" s="7"/>
      <c r="N14" s="7"/>
      <c r="O14" s="7"/>
      <c r="P14" s="7"/>
      <c r="Q14" s="7"/>
      <c r="R14" s="7"/>
    </row>
    <row r="15" spans="1:18" s="2" customFormat="1" x14ac:dyDescent="0.35">
      <c r="A15" s="64" t="s">
        <v>110</v>
      </c>
      <c r="B15" s="63" t="s">
        <v>29</v>
      </c>
      <c r="C15" s="55">
        <v>0</v>
      </c>
      <c r="D15" s="85">
        <f>'Додаток 1 Фін.план'!I26</f>
        <v>0</v>
      </c>
      <c r="E15" s="89">
        <f t="shared" si="1"/>
        <v>0</v>
      </c>
      <c r="F15" s="92">
        <v>0</v>
      </c>
      <c r="G15" s="55">
        <f>'Додаток 1 Фін.план'!F26+'Додаток 1 Фін.план'!G26+'Додаток 2 Фін.звіт'!C15</f>
        <v>0</v>
      </c>
      <c r="H15" s="55">
        <f>'Додаток 1 Фін.план'!F26+'Додаток 1 Фін.план'!G26</f>
        <v>0</v>
      </c>
      <c r="I15" s="89">
        <f t="shared" si="3"/>
        <v>0</v>
      </c>
      <c r="J15" s="89">
        <v>0</v>
      </c>
      <c r="K15" s="7"/>
      <c r="L15" s="7"/>
      <c r="M15" s="7"/>
      <c r="N15" s="7"/>
      <c r="O15" s="7"/>
      <c r="P15" s="7"/>
      <c r="Q15" s="7"/>
      <c r="R15" s="7"/>
    </row>
    <row r="16" spans="1:18" s="2" customFormat="1" x14ac:dyDescent="0.35">
      <c r="A16" s="66" t="s">
        <v>88</v>
      </c>
      <c r="B16" s="80" t="s">
        <v>24</v>
      </c>
      <c r="C16" s="126">
        <f>C17</f>
        <v>19451667.859999999</v>
      </c>
      <c r="D16" s="87">
        <f>D17</f>
        <v>4418840.6899999995</v>
      </c>
      <c r="E16" s="118">
        <f t="shared" si="1"/>
        <v>-15032827.17</v>
      </c>
      <c r="F16" s="88">
        <f t="shared" si="2"/>
        <v>22.717027258556119</v>
      </c>
      <c r="G16" s="126">
        <f>G17</f>
        <v>30394268</v>
      </c>
      <c r="H16" s="87">
        <f>H17</f>
        <v>15361440.83</v>
      </c>
      <c r="I16" s="118">
        <f t="shared" si="3"/>
        <v>-15032827.17</v>
      </c>
      <c r="J16" s="118">
        <f t="shared" si="0"/>
        <v>50.540584922130719</v>
      </c>
      <c r="K16" s="7"/>
      <c r="L16" s="7"/>
      <c r="M16" s="7"/>
      <c r="N16" s="7"/>
      <c r="O16" s="7"/>
      <c r="P16" s="7"/>
      <c r="Q16" s="7"/>
      <c r="R16" s="7"/>
    </row>
    <row r="17" spans="1:18" s="2" customFormat="1" ht="17.25" customHeight="1" x14ac:dyDescent="0.35">
      <c r="A17" s="16" t="s">
        <v>111</v>
      </c>
      <c r="B17" s="81" t="s">
        <v>106</v>
      </c>
      <c r="C17" s="89">
        <v>19451667.859999999</v>
      </c>
      <c r="D17" s="117">
        <f>'Додаток 1 Фін.план'!I28</f>
        <v>4418840.6899999995</v>
      </c>
      <c r="E17" s="97">
        <f>D17-C17</f>
        <v>-15032827.17</v>
      </c>
      <c r="F17" s="86">
        <f>(D17/C17)*100</f>
        <v>22.717027258556119</v>
      </c>
      <c r="G17" s="55">
        <v>30394268</v>
      </c>
      <c r="H17" s="55">
        <f>'Додаток 1 Фін.план'!E28</f>
        <v>15361440.83</v>
      </c>
      <c r="I17" s="89">
        <f>H17-G17</f>
        <v>-15032827.17</v>
      </c>
      <c r="J17" s="89">
        <f>(H17/G17)*100</f>
        <v>50.540584922130719</v>
      </c>
      <c r="K17" s="7"/>
      <c r="L17" s="7"/>
      <c r="M17" s="7"/>
      <c r="N17" s="7"/>
      <c r="O17" s="7"/>
      <c r="P17" s="7"/>
      <c r="Q17" s="7"/>
      <c r="R17" s="7"/>
    </row>
    <row r="18" spans="1:18" s="2" customFormat="1" x14ac:dyDescent="0.35">
      <c r="A18" s="82" t="s">
        <v>30</v>
      </c>
      <c r="B18" s="83">
        <v>1030</v>
      </c>
      <c r="C18" s="119">
        <f>C19+C20+C21+C22+C23+C24+C25+C26+C27</f>
        <v>161972.97</v>
      </c>
      <c r="D18" s="119">
        <f>D19+D20+D21+D22+D23+D24+D25+D26+D27</f>
        <v>4653048.63</v>
      </c>
      <c r="E18" s="84">
        <f t="shared" si="1"/>
        <v>4491075.66</v>
      </c>
      <c r="F18" s="84">
        <f t="shared" si="2"/>
        <v>2872.7315613216206</v>
      </c>
      <c r="G18" s="119">
        <f>G19+G20+G21+G22+G23+G24+G25+G26+G27</f>
        <v>10591331.65</v>
      </c>
      <c r="H18" s="119">
        <f>H19+H20+H21+H22+H23+H24+H25+H26+H27</f>
        <v>25363103.649999999</v>
      </c>
      <c r="I18" s="84">
        <f t="shared" si="3"/>
        <v>14771771.999999998</v>
      </c>
      <c r="J18" s="84">
        <f t="shared" si="0"/>
        <v>239.47039416899005</v>
      </c>
      <c r="K18" s="7"/>
      <c r="L18" s="7"/>
      <c r="M18" s="7"/>
      <c r="N18" s="7"/>
      <c r="O18" s="7"/>
      <c r="P18" s="7"/>
      <c r="Q18" s="7"/>
      <c r="R18" s="7"/>
    </row>
    <row r="19" spans="1:18" s="2" customFormat="1" ht="31.8" x14ac:dyDescent="0.35">
      <c r="A19" s="61" t="s">
        <v>81</v>
      </c>
      <c r="B19" s="17">
        <v>1031</v>
      </c>
      <c r="C19" s="89">
        <v>0</v>
      </c>
      <c r="D19" s="85">
        <f>'Додаток 1 Фін.план'!I30</f>
        <v>523370</v>
      </c>
      <c r="E19" s="89">
        <f t="shared" si="1"/>
        <v>523370</v>
      </c>
      <c r="F19" s="74">
        <v>0</v>
      </c>
      <c r="G19" s="55">
        <f>'Додаток 1 Фін.план'!F30+'Додаток 1 Фін.план'!G30+'Додаток 2 Фін.звіт'!C19</f>
        <v>0</v>
      </c>
      <c r="H19" s="55">
        <f>'Додаток 1 Фін.план'!E30</f>
        <v>523370</v>
      </c>
      <c r="I19" s="89">
        <f t="shared" si="3"/>
        <v>523370</v>
      </c>
      <c r="J19" s="89">
        <v>0</v>
      </c>
      <c r="K19" s="7"/>
      <c r="L19" s="7"/>
      <c r="M19" s="7"/>
      <c r="N19" s="7"/>
      <c r="O19" s="7"/>
      <c r="P19" s="7"/>
      <c r="Q19" s="7"/>
      <c r="R19" s="7"/>
    </row>
    <row r="20" spans="1:18" ht="18" customHeight="1" x14ac:dyDescent="0.35">
      <c r="A20" s="61" t="s">
        <v>97</v>
      </c>
      <c r="B20" s="17">
        <v>1032</v>
      </c>
      <c r="C20" s="89">
        <v>159784.25</v>
      </c>
      <c r="D20" s="85">
        <f>'Додаток 1 Фін.план'!I31</f>
        <v>253960.53</v>
      </c>
      <c r="E20" s="89">
        <f t="shared" si="1"/>
        <v>94176.28</v>
      </c>
      <c r="F20" s="92">
        <f t="shared" si="2"/>
        <v>158.93965143623353</v>
      </c>
      <c r="G20" s="55">
        <v>480000</v>
      </c>
      <c r="H20" s="55">
        <f>'Додаток 1 Фін.план'!E31</f>
        <v>574176.28</v>
      </c>
      <c r="I20" s="89">
        <f t="shared" si="3"/>
        <v>94176.280000000028</v>
      </c>
      <c r="J20" s="89">
        <f t="shared" si="0"/>
        <v>119.62005833333333</v>
      </c>
    </row>
    <row r="21" spans="1:18" x14ac:dyDescent="0.35">
      <c r="A21" s="18" t="s">
        <v>15</v>
      </c>
      <c r="B21" s="17">
        <v>1033</v>
      </c>
      <c r="C21" s="89">
        <v>0</v>
      </c>
      <c r="D21" s="85">
        <f>'Додаток 1 Фін.план'!I32</f>
        <v>314873.32</v>
      </c>
      <c r="E21" s="89">
        <f t="shared" si="1"/>
        <v>314873.32</v>
      </c>
      <c r="F21" s="92">
        <v>0</v>
      </c>
      <c r="G21" s="55">
        <v>10040400</v>
      </c>
      <c r="H21" s="55">
        <f>'Додаток 1 Фін.план'!E32</f>
        <v>4257473.46</v>
      </c>
      <c r="I21" s="89">
        <f t="shared" si="3"/>
        <v>-5782926.54</v>
      </c>
      <c r="J21" s="89">
        <f t="shared" si="0"/>
        <v>42.40342476395363</v>
      </c>
    </row>
    <row r="22" spans="1:18" x14ac:dyDescent="0.35">
      <c r="A22" s="61" t="s">
        <v>100</v>
      </c>
      <c r="B22" s="17">
        <v>1034</v>
      </c>
      <c r="C22" s="89">
        <v>0</v>
      </c>
      <c r="D22" s="85">
        <f>'Додаток 1 Фін.план'!I33</f>
        <v>0</v>
      </c>
      <c r="E22" s="89">
        <f t="shared" si="1"/>
        <v>0</v>
      </c>
      <c r="F22" s="92">
        <v>0</v>
      </c>
      <c r="G22" s="55">
        <f>'Додаток 1 Фін.план'!F33+'Додаток 1 Фін.план'!G33+'Додаток 2 Фін.звіт'!C22</f>
        <v>0</v>
      </c>
      <c r="H22" s="55">
        <f>'Додаток 1 Фін.план'!E33</f>
        <v>0</v>
      </c>
      <c r="I22" s="89">
        <f t="shared" si="3"/>
        <v>0</v>
      </c>
      <c r="J22" s="89">
        <v>0</v>
      </c>
    </row>
    <row r="23" spans="1:18" x14ac:dyDescent="0.35">
      <c r="A23" s="18" t="s">
        <v>109</v>
      </c>
      <c r="B23" s="17">
        <v>1035</v>
      </c>
      <c r="C23" s="89">
        <v>2188.7199999999998</v>
      </c>
      <c r="D23" s="85">
        <f>'Додаток 1 Фін.план'!I34</f>
        <v>16936</v>
      </c>
      <c r="E23" s="89">
        <f t="shared" si="1"/>
        <v>14747.28</v>
      </c>
      <c r="F23" s="92">
        <f t="shared" si="2"/>
        <v>773.7855915786397</v>
      </c>
      <c r="G23" s="55">
        <v>28399.4</v>
      </c>
      <c r="H23" s="55">
        <f>'Додаток 1 Фін.план'!E34</f>
        <v>43146.68</v>
      </c>
      <c r="I23" s="89">
        <f t="shared" si="3"/>
        <v>14747.279999999999</v>
      </c>
      <c r="J23" s="89">
        <f t="shared" si="0"/>
        <v>151.92813932688719</v>
      </c>
    </row>
    <row r="24" spans="1:18" x14ac:dyDescent="0.35">
      <c r="A24" s="16" t="s">
        <v>80</v>
      </c>
      <c r="B24" s="17">
        <v>1036</v>
      </c>
      <c r="C24" s="89">
        <v>0</v>
      </c>
      <c r="D24" s="85">
        <f>'Додаток 1 Фін.план'!I35</f>
        <v>7739.65</v>
      </c>
      <c r="E24" s="97">
        <f t="shared" si="1"/>
        <v>7739.65</v>
      </c>
      <c r="F24" s="86">
        <v>0</v>
      </c>
      <c r="G24" s="55">
        <v>12922</v>
      </c>
      <c r="H24" s="55">
        <f>'Додаток 1 Фін.план'!E35</f>
        <v>22743.5</v>
      </c>
      <c r="I24" s="97">
        <f t="shared" si="3"/>
        <v>9821.5</v>
      </c>
      <c r="J24" s="97">
        <f t="shared" si="0"/>
        <v>176.00603621730383</v>
      </c>
    </row>
    <row r="25" spans="1:18" x14ac:dyDescent="0.35">
      <c r="A25" s="78" t="s">
        <v>101</v>
      </c>
      <c r="B25" s="79">
        <v>1037</v>
      </c>
      <c r="C25" s="89">
        <v>0</v>
      </c>
      <c r="D25" s="85">
        <f>'Додаток 1 Фін.план'!I36</f>
        <v>0</v>
      </c>
      <c r="E25" s="97">
        <f>D25-C25</f>
        <v>0</v>
      </c>
      <c r="F25" s="86">
        <v>0</v>
      </c>
      <c r="G25" s="55">
        <v>0</v>
      </c>
      <c r="H25" s="55">
        <f>'Додаток 1 Фін.план'!E36</f>
        <v>11995728.029999999</v>
      </c>
      <c r="I25" s="97">
        <f>H25-G25</f>
        <v>11995728.029999999</v>
      </c>
      <c r="J25" s="97">
        <v>0</v>
      </c>
    </row>
    <row r="26" spans="1:18" x14ac:dyDescent="0.35">
      <c r="A26" s="61" t="s">
        <v>104</v>
      </c>
      <c r="B26" s="17">
        <v>1038</v>
      </c>
      <c r="C26" s="89">
        <v>0</v>
      </c>
      <c r="D26" s="85">
        <f>'Додаток 1 Фін.план'!I37</f>
        <v>455580.81</v>
      </c>
      <c r="E26" s="97">
        <f>D26-C26</f>
        <v>455580.81</v>
      </c>
      <c r="F26" s="86">
        <v>0</v>
      </c>
      <c r="G26" s="55">
        <v>29610.25</v>
      </c>
      <c r="H26" s="55">
        <f>'Додаток 1 Фін.план'!E37</f>
        <v>598536.74</v>
      </c>
      <c r="I26" s="97">
        <f>H26-G26</f>
        <v>568926.49</v>
      </c>
      <c r="J26" s="97">
        <f>(H26/G26)*100</f>
        <v>2021.3836087165764</v>
      </c>
    </row>
    <row r="27" spans="1:18" s="100" customFormat="1" x14ac:dyDescent="0.35">
      <c r="A27" s="61" t="s">
        <v>108</v>
      </c>
      <c r="B27" s="99">
        <v>1039</v>
      </c>
      <c r="C27" s="89">
        <v>0</v>
      </c>
      <c r="D27" s="85">
        <f>'Додаток 1 Фін.план'!I38</f>
        <v>3080588.32</v>
      </c>
      <c r="E27" s="97">
        <f>D27-C27</f>
        <v>3080588.32</v>
      </c>
      <c r="F27" s="86">
        <v>0</v>
      </c>
      <c r="G27" s="55">
        <v>0</v>
      </c>
      <c r="H27" s="55">
        <f>'Додаток 1 Фін.план'!E38</f>
        <v>7347928.9600000009</v>
      </c>
      <c r="I27" s="97">
        <f>H27-G27</f>
        <v>7347928.9600000009</v>
      </c>
      <c r="J27" s="97">
        <v>0</v>
      </c>
    </row>
    <row r="28" spans="1:18" x14ac:dyDescent="0.35">
      <c r="A28" s="232" t="s">
        <v>82</v>
      </c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8" x14ac:dyDescent="0.35">
      <c r="A29" s="29" t="s">
        <v>31</v>
      </c>
      <c r="B29" s="20">
        <v>1040</v>
      </c>
      <c r="C29" s="53">
        <v>28855050.920000002</v>
      </c>
      <c r="D29" s="85">
        <f>'Додаток 1 Фін.план'!I40</f>
        <v>14993420.720000003</v>
      </c>
      <c r="E29" s="95">
        <f t="shared" si="1"/>
        <v>-13861630.199999999</v>
      </c>
      <c r="F29" s="74">
        <f t="shared" si="2"/>
        <v>51.961165348725025</v>
      </c>
      <c r="G29" s="55">
        <v>70141414.909999996</v>
      </c>
      <c r="H29" s="55">
        <f>'Додаток 1 Фін.план'!E40</f>
        <v>56279784.710000001</v>
      </c>
      <c r="I29" s="95">
        <f t="shared" ref="I29:I41" si="4">H29-G29</f>
        <v>-13861630.199999996</v>
      </c>
      <c r="J29" s="95">
        <f t="shared" ref="J29:J41" si="5">(H29/G29)*100</f>
        <v>80.237595409522086</v>
      </c>
    </row>
    <row r="30" spans="1:18" x14ac:dyDescent="0.35">
      <c r="A30" s="19" t="s">
        <v>32</v>
      </c>
      <c r="B30" s="22">
        <v>1050</v>
      </c>
      <c r="C30" s="53">
        <v>6191387.5999999996</v>
      </c>
      <c r="D30" s="85">
        <f>'Додаток 1 Фін.план'!I41</f>
        <v>3337788.430000002</v>
      </c>
      <c r="E30" s="89">
        <f t="shared" si="1"/>
        <v>-2853599.1699999976</v>
      </c>
      <c r="F30" s="92">
        <f t="shared" si="2"/>
        <v>53.910183720366703</v>
      </c>
      <c r="G30" s="55">
        <v>15431111</v>
      </c>
      <c r="H30" s="55">
        <f>'Додаток 1 Фін.план'!E41</f>
        <v>12577511.830000002</v>
      </c>
      <c r="I30" s="89">
        <f t="shared" si="4"/>
        <v>-2853599.1699999981</v>
      </c>
      <c r="J30" s="89">
        <f t="shared" si="5"/>
        <v>81.507493724852353</v>
      </c>
    </row>
    <row r="31" spans="1:18" x14ac:dyDescent="0.35">
      <c r="A31" s="19" t="s">
        <v>33</v>
      </c>
      <c r="B31" s="22">
        <v>1060</v>
      </c>
      <c r="C31" s="53">
        <v>0</v>
      </c>
      <c r="D31" s="85">
        <f>'Додаток 1 Фін.план'!I42</f>
        <v>566318.66000000027</v>
      </c>
      <c r="E31" s="89">
        <f t="shared" si="1"/>
        <v>566318.66000000027</v>
      </c>
      <c r="F31" s="92">
        <v>0</v>
      </c>
      <c r="G31" s="55">
        <v>475000</v>
      </c>
      <c r="H31" s="55">
        <f>'Додаток 1 Фін.план'!E42</f>
        <v>1135307.6600000001</v>
      </c>
      <c r="I31" s="89">
        <f t="shared" si="4"/>
        <v>660307.66000000015</v>
      </c>
      <c r="J31" s="89">
        <f t="shared" si="5"/>
        <v>239.01213894736847</v>
      </c>
    </row>
    <row r="32" spans="1:18" x14ac:dyDescent="0.35">
      <c r="A32" s="19" t="s">
        <v>34</v>
      </c>
      <c r="B32" s="22">
        <v>1070</v>
      </c>
      <c r="C32" s="53">
        <v>9130362.3300000001</v>
      </c>
      <c r="D32" s="85">
        <f>'Додаток 1 Фін.план'!I43</f>
        <v>8810038.9100000001</v>
      </c>
      <c r="E32" s="89">
        <f t="shared" si="1"/>
        <v>-320323.41999999993</v>
      </c>
      <c r="F32" s="92">
        <f t="shared" si="2"/>
        <v>96.491668036573969</v>
      </c>
      <c r="G32" s="55">
        <v>30268600.559999999</v>
      </c>
      <c r="H32" s="55">
        <f>'Додаток 1 Фін.план'!E43</f>
        <v>29948277.140000001</v>
      </c>
      <c r="I32" s="89">
        <f t="shared" si="4"/>
        <v>-320323.41999999806</v>
      </c>
      <c r="J32" s="89">
        <f t="shared" si="5"/>
        <v>98.941730327555007</v>
      </c>
    </row>
    <row r="33" spans="1:23" x14ac:dyDescent="0.35">
      <c r="A33" s="19" t="s">
        <v>35</v>
      </c>
      <c r="B33" s="22">
        <v>1080</v>
      </c>
      <c r="C33" s="53">
        <v>0</v>
      </c>
      <c r="D33" s="85">
        <f>'Додаток 1 Фін.план'!I44</f>
        <v>300710.19000000006</v>
      </c>
      <c r="E33" s="89">
        <f t="shared" si="1"/>
        <v>300710.19000000006</v>
      </c>
      <c r="F33" s="92">
        <v>0</v>
      </c>
      <c r="G33" s="55">
        <v>566852</v>
      </c>
      <c r="H33" s="55">
        <f>'Додаток 1 Фін.план'!E44</f>
        <v>1071267.1100000001</v>
      </c>
      <c r="I33" s="89">
        <f t="shared" si="4"/>
        <v>504415.1100000001</v>
      </c>
      <c r="J33" s="89">
        <f t="shared" si="5"/>
        <v>188.98532773986864</v>
      </c>
    </row>
    <row r="34" spans="1:23" x14ac:dyDescent="0.35">
      <c r="A34" s="19" t="s">
        <v>36</v>
      </c>
      <c r="B34" s="22">
        <v>1090</v>
      </c>
      <c r="C34" s="53">
        <v>3659286.3</v>
      </c>
      <c r="D34" s="85">
        <f>'Додаток 1 Фін.план'!I45</f>
        <v>2450366.3599999994</v>
      </c>
      <c r="E34" s="89">
        <f t="shared" si="1"/>
        <v>-1208919.9400000004</v>
      </c>
      <c r="F34" s="92">
        <f t="shared" si="2"/>
        <v>66.962958323321118</v>
      </c>
      <c r="G34" s="55">
        <v>6002000</v>
      </c>
      <c r="H34" s="55">
        <f>'Додаток 1 Фін.план'!E45</f>
        <v>4793080.0599999996</v>
      </c>
      <c r="I34" s="89">
        <f t="shared" si="4"/>
        <v>-1208919.9400000004</v>
      </c>
      <c r="J34" s="89">
        <f t="shared" si="5"/>
        <v>79.858048317227585</v>
      </c>
    </row>
    <row r="35" spans="1:23" x14ac:dyDescent="0.35">
      <c r="A35" s="19" t="s">
        <v>37</v>
      </c>
      <c r="B35" s="22">
        <v>1100</v>
      </c>
      <c r="C35" s="53">
        <v>0</v>
      </c>
      <c r="D35" s="85">
        <f>'Додаток 1 Фін.план'!I46</f>
        <v>0</v>
      </c>
      <c r="E35" s="89">
        <f t="shared" si="1"/>
        <v>0</v>
      </c>
      <c r="F35" s="92">
        <v>0</v>
      </c>
      <c r="G35" s="55">
        <v>0</v>
      </c>
      <c r="H35" s="55">
        <f>'Додаток 1 Фін.план'!E46</f>
        <v>0</v>
      </c>
      <c r="I35" s="89">
        <f t="shared" si="4"/>
        <v>0</v>
      </c>
      <c r="J35" s="89">
        <v>0</v>
      </c>
    </row>
    <row r="36" spans="1:23" x14ac:dyDescent="0.35">
      <c r="A36" s="19" t="s">
        <v>73</v>
      </c>
      <c r="B36" s="22">
        <v>1110</v>
      </c>
      <c r="C36" s="53">
        <v>4917769.09</v>
      </c>
      <c r="D36" s="85">
        <f>'Додаток 1 Фін.план'!I47</f>
        <v>2985807.08</v>
      </c>
      <c r="E36" s="89">
        <f t="shared" si="1"/>
        <v>-1931962.0099999998</v>
      </c>
      <c r="F36" s="92">
        <f t="shared" si="2"/>
        <v>60.714666047892877</v>
      </c>
      <c r="G36" s="55">
        <v>9880181</v>
      </c>
      <c r="H36" s="55">
        <f>'Додаток 1 Фін.план'!E47</f>
        <v>7948218.9900000002</v>
      </c>
      <c r="I36" s="89">
        <f t="shared" si="4"/>
        <v>-1931962.0099999998</v>
      </c>
      <c r="J36" s="89">
        <f t="shared" si="5"/>
        <v>80.446086868246653</v>
      </c>
    </row>
    <row r="37" spans="1:23" ht="31.2" x14ac:dyDescent="0.35">
      <c r="A37" s="23" t="s">
        <v>38</v>
      </c>
      <c r="B37" s="22">
        <v>1120</v>
      </c>
      <c r="C37" s="53">
        <v>0</v>
      </c>
      <c r="D37" s="85">
        <f>'Додаток 1 Фін.план'!I48</f>
        <v>4980</v>
      </c>
      <c r="E37" s="89">
        <f t="shared" si="1"/>
        <v>4980</v>
      </c>
      <c r="F37" s="92">
        <v>0</v>
      </c>
      <c r="G37" s="55">
        <v>0</v>
      </c>
      <c r="H37" s="55">
        <f>'Додаток 1 Фін.план'!E48</f>
        <v>27330</v>
      </c>
      <c r="I37" s="89">
        <f t="shared" si="4"/>
        <v>27330</v>
      </c>
      <c r="J37" s="89">
        <v>0</v>
      </c>
    </row>
    <row r="38" spans="1:23" x14ac:dyDescent="0.35">
      <c r="A38" s="23" t="s">
        <v>39</v>
      </c>
      <c r="B38" s="22">
        <v>1130</v>
      </c>
      <c r="C38" s="53">
        <v>254600</v>
      </c>
      <c r="D38" s="85">
        <f>'Додаток 1 Фін.план'!I49</f>
        <v>85000</v>
      </c>
      <c r="E38" s="89">
        <f t="shared" si="1"/>
        <v>-169600</v>
      </c>
      <c r="F38" s="92">
        <f t="shared" si="2"/>
        <v>33.385703063629222</v>
      </c>
      <c r="G38" s="55">
        <v>1019600</v>
      </c>
      <c r="H38" s="55">
        <f>'Додаток 1 Фін.план'!E49</f>
        <v>850000</v>
      </c>
      <c r="I38" s="89">
        <f t="shared" si="4"/>
        <v>-169600</v>
      </c>
      <c r="J38" s="89">
        <f t="shared" si="5"/>
        <v>83.366025892506869</v>
      </c>
    </row>
    <row r="39" spans="1:23" x14ac:dyDescent="0.35">
      <c r="A39" s="19" t="s">
        <v>40</v>
      </c>
      <c r="B39" s="22">
        <v>1140</v>
      </c>
      <c r="C39" s="53">
        <v>126692.48</v>
      </c>
      <c r="D39" s="85">
        <f>'Додаток 1 Фін.план'!I50</f>
        <v>0</v>
      </c>
      <c r="E39" s="89">
        <f t="shared" si="1"/>
        <v>-126692.48</v>
      </c>
      <c r="F39" s="92">
        <f t="shared" si="2"/>
        <v>0</v>
      </c>
      <c r="G39" s="55">
        <v>169200</v>
      </c>
      <c r="H39" s="55">
        <f>'Додаток 1 Фін.план'!E50</f>
        <v>42507.519999999997</v>
      </c>
      <c r="I39" s="89">
        <f t="shared" si="4"/>
        <v>-126692.48000000001</v>
      </c>
      <c r="J39" s="89">
        <f t="shared" si="5"/>
        <v>25.122647754137112</v>
      </c>
    </row>
    <row r="40" spans="1:23" x14ac:dyDescent="0.35">
      <c r="A40" s="24" t="s">
        <v>41</v>
      </c>
      <c r="B40" s="25">
        <v>1170</v>
      </c>
      <c r="C40" s="54">
        <f>C13+C16+C18+C43+C54</f>
        <v>79061574.390000001</v>
      </c>
      <c r="D40" s="54">
        <f>D13+D16+D18+D43+D54</f>
        <v>38652372.359999999</v>
      </c>
      <c r="E40" s="84">
        <f t="shared" si="1"/>
        <v>-40409202.030000001</v>
      </c>
      <c r="F40" s="75">
        <f t="shared" si="2"/>
        <v>48.888948466081764</v>
      </c>
      <c r="G40" s="54">
        <f>G13+G16+G18+G43+G54</f>
        <v>167446653.65000001</v>
      </c>
      <c r="H40" s="54">
        <f>H13+H16+H18+H43+H54</f>
        <v>137318147.95999998</v>
      </c>
      <c r="I40" s="84">
        <f t="shared" si="4"/>
        <v>-30128505.690000027</v>
      </c>
      <c r="J40" s="84">
        <f t="shared" si="5"/>
        <v>82.007101943658327</v>
      </c>
    </row>
    <row r="41" spans="1:23" x14ac:dyDescent="0.35">
      <c r="A41" s="24" t="s">
        <v>42</v>
      </c>
      <c r="B41" s="25">
        <v>1180</v>
      </c>
      <c r="C41" s="54">
        <f>C29+C30+C31+C32+C33+C34+C35+C36+C37+C38+C39+C46+C59</f>
        <v>53135148.719999991</v>
      </c>
      <c r="D41" s="54">
        <f>D29+D30+D31+D32+D33+D34+D35+D36+D37+D38+D39+D46+D59</f>
        <v>33535518.99000001</v>
      </c>
      <c r="E41" s="84">
        <f t="shared" si="1"/>
        <v>-19599629.729999982</v>
      </c>
      <c r="F41" s="75">
        <f t="shared" si="2"/>
        <v>63.113625910257952</v>
      </c>
      <c r="G41" s="54">
        <f>G29+G30+G31+G32+G33+G34+G35+G36+G37+G38+G39+G46+G59</f>
        <v>133953959.47</v>
      </c>
      <c r="H41" s="54">
        <f>H29+H30+H31+H32+H33+H34+H35+H36+H37+H38+H39+H46+H59</f>
        <v>123486600.03999999</v>
      </c>
      <c r="I41" s="84">
        <f t="shared" si="4"/>
        <v>-10467359.430000007</v>
      </c>
      <c r="J41" s="84">
        <f t="shared" si="5"/>
        <v>92.185852906912956</v>
      </c>
    </row>
    <row r="42" spans="1:23" x14ac:dyDescent="0.35">
      <c r="A42" s="205" t="s">
        <v>50</v>
      </c>
      <c r="B42" s="206"/>
      <c r="C42" s="206"/>
      <c r="D42" s="206"/>
      <c r="E42" s="206"/>
      <c r="F42" s="206"/>
      <c r="G42" s="206"/>
      <c r="H42" s="206"/>
      <c r="I42" s="206"/>
      <c r="J42" s="207"/>
    </row>
    <row r="43" spans="1:23" x14ac:dyDescent="0.35">
      <c r="A43" s="56" t="s">
        <v>86</v>
      </c>
      <c r="B43" s="60">
        <v>2010</v>
      </c>
      <c r="C43" s="84">
        <f>C44+C45</f>
        <v>0</v>
      </c>
      <c r="D43" s="84">
        <f>D44</f>
        <v>0</v>
      </c>
      <c r="E43" s="84">
        <f t="shared" si="1"/>
        <v>0</v>
      </c>
      <c r="F43" s="75">
        <v>0</v>
      </c>
      <c r="G43" s="84">
        <f>G44</f>
        <v>0</v>
      </c>
      <c r="H43" s="84">
        <f>H44</f>
        <v>0</v>
      </c>
      <c r="I43" s="84">
        <f t="shared" ref="I43:I52" si="6">H43-G43</f>
        <v>0</v>
      </c>
      <c r="J43" s="84">
        <v>0</v>
      </c>
    </row>
    <row r="44" spans="1:23" x14ac:dyDescent="0.35">
      <c r="A44" s="41" t="s">
        <v>87</v>
      </c>
      <c r="B44" s="17">
        <v>2011</v>
      </c>
      <c r="C44" s="89">
        <v>0</v>
      </c>
      <c r="D44" s="85">
        <f>'Додаток 1 Фін.план'!I55</f>
        <v>0</v>
      </c>
      <c r="E44" s="89">
        <f t="shared" si="1"/>
        <v>0</v>
      </c>
      <c r="F44" s="92">
        <v>0</v>
      </c>
      <c r="G44" s="55">
        <f>'Додаток 1 Фін.план'!F55+'Додаток 1 Фін.план'!G55+'Додаток 2 Фін.звіт'!C44</f>
        <v>0</v>
      </c>
      <c r="H44" s="89">
        <f>'Додаток 1 Фін.план'!I55</f>
        <v>0</v>
      </c>
      <c r="I44" s="89">
        <f t="shared" si="6"/>
        <v>0</v>
      </c>
      <c r="J44" s="89">
        <v>0</v>
      </c>
    </row>
    <row r="45" spans="1:23" x14ac:dyDescent="0.35">
      <c r="A45" s="41" t="s">
        <v>89</v>
      </c>
      <c r="B45" s="17">
        <v>2012</v>
      </c>
      <c r="C45" s="89">
        <v>0</v>
      </c>
      <c r="D45" s="85">
        <f>'Додаток 1 Фін.план'!I56</f>
        <v>0</v>
      </c>
      <c r="E45" s="89">
        <f t="shared" si="1"/>
        <v>0</v>
      </c>
      <c r="F45" s="92">
        <v>0</v>
      </c>
      <c r="G45" s="55">
        <f>'Додаток 1 Фін.план'!F56+'Додаток 1 Фін.план'!G56+'Додаток 2 Фін.звіт'!C45</f>
        <v>0</v>
      </c>
      <c r="H45" s="89">
        <f>D45</f>
        <v>0</v>
      </c>
      <c r="I45" s="89">
        <f t="shared" si="6"/>
        <v>0</v>
      </c>
      <c r="J45" s="89">
        <v>0</v>
      </c>
    </row>
    <row r="46" spans="1:23" x14ac:dyDescent="0.35">
      <c r="A46" s="56" t="s">
        <v>112</v>
      </c>
      <c r="B46" s="70">
        <v>3010</v>
      </c>
      <c r="C46" s="93">
        <f>C47+C48+C49+C50+C51+C52</f>
        <v>0</v>
      </c>
      <c r="D46" s="93">
        <f>D47+D48+D49+D50+D51+D52</f>
        <v>1088.6400000000001</v>
      </c>
      <c r="E46" s="84">
        <f t="shared" si="1"/>
        <v>1088.6400000000001</v>
      </c>
      <c r="F46" s="75">
        <v>0</v>
      </c>
      <c r="G46" s="93">
        <v>0</v>
      </c>
      <c r="H46" s="93">
        <v>8813315.0199999996</v>
      </c>
      <c r="I46" s="84">
        <f t="shared" si="6"/>
        <v>8813315.0199999996</v>
      </c>
      <c r="J46" s="84">
        <v>0</v>
      </c>
    </row>
    <row r="47" spans="1:23" x14ac:dyDescent="0.35">
      <c r="A47" s="102" t="s">
        <v>51</v>
      </c>
      <c r="B47" s="22">
        <v>3011</v>
      </c>
      <c r="C47" s="55">
        <v>0</v>
      </c>
      <c r="D47" s="55">
        <f>'Додаток 1 Фін.план'!I58</f>
        <v>0</v>
      </c>
      <c r="E47" s="89">
        <f t="shared" si="1"/>
        <v>0</v>
      </c>
      <c r="F47" s="92">
        <v>0</v>
      </c>
      <c r="G47" s="55">
        <f>'Додаток 1 Фін.план'!F58+'Додаток 1 Фін.план'!G58+'Додаток 2 Фін.звіт'!C47</f>
        <v>0</v>
      </c>
      <c r="H47" s="90">
        <f>'Додаток 1 Фін.план'!F58</f>
        <v>0</v>
      </c>
      <c r="I47" s="89">
        <f t="shared" si="6"/>
        <v>0</v>
      </c>
      <c r="J47" s="89">
        <v>0</v>
      </c>
      <c r="K47" s="229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</row>
    <row r="48" spans="1:23" x14ac:dyDescent="0.35">
      <c r="A48" s="102" t="s">
        <v>116</v>
      </c>
      <c r="B48" s="22">
        <v>3012</v>
      </c>
      <c r="C48" s="55">
        <v>0</v>
      </c>
      <c r="D48" s="55">
        <f>'Додаток 1 Фін.план'!I59</f>
        <v>0</v>
      </c>
      <c r="E48" s="89">
        <f t="shared" si="1"/>
        <v>0</v>
      </c>
      <c r="F48" s="92">
        <v>0</v>
      </c>
      <c r="G48" s="55">
        <f>'Додаток 1 Фін.план'!E59</f>
        <v>5895896.9799999995</v>
      </c>
      <c r="H48" s="55">
        <v>5895896.9799999995</v>
      </c>
      <c r="I48" s="89">
        <f t="shared" si="6"/>
        <v>0</v>
      </c>
      <c r="J48" s="89">
        <f t="shared" ref="J43:J52" si="7">(H48/G48)*100</f>
        <v>100</v>
      </c>
      <c r="K48" s="229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</row>
    <row r="49" spans="1:23" x14ac:dyDescent="0.35">
      <c r="A49" s="102" t="s">
        <v>117</v>
      </c>
      <c r="B49" s="22">
        <v>3013</v>
      </c>
      <c r="C49" s="55">
        <v>0</v>
      </c>
      <c r="D49" s="55">
        <f>'Додаток 1 Фін.план'!I60</f>
        <v>0</v>
      </c>
      <c r="E49" s="89">
        <f t="shared" si="1"/>
        <v>0</v>
      </c>
      <c r="F49" s="92">
        <v>0</v>
      </c>
      <c r="G49" s="55">
        <f>'Додаток 1 Фін.план'!E60</f>
        <v>437278.62</v>
      </c>
      <c r="H49" s="55">
        <v>437278.62</v>
      </c>
      <c r="I49" s="89">
        <f t="shared" si="6"/>
        <v>0</v>
      </c>
      <c r="J49" s="89">
        <f t="shared" si="7"/>
        <v>100</v>
      </c>
      <c r="K49" s="229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</row>
    <row r="50" spans="1:23" x14ac:dyDescent="0.35">
      <c r="A50" s="102" t="s">
        <v>118</v>
      </c>
      <c r="B50" s="22">
        <v>3014</v>
      </c>
      <c r="C50" s="55">
        <v>0</v>
      </c>
      <c r="D50" s="55">
        <f>'Додаток 1 Фін.план'!I61</f>
        <v>1088.6400000000001</v>
      </c>
      <c r="E50" s="89">
        <f t="shared" si="1"/>
        <v>1088.6400000000001</v>
      </c>
      <c r="F50" s="92">
        <v>0</v>
      </c>
      <c r="G50" s="55">
        <f>'Додаток 1 Фін.план'!E61</f>
        <v>1751.76</v>
      </c>
      <c r="H50" s="55">
        <v>1751.76</v>
      </c>
      <c r="I50" s="89">
        <f t="shared" si="6"/>
        <v>0</v>
      </c>
      <c r="J50" s="89">
        <f t="shared" si="7"/>
        <v>100</v>
      </c>
      <c r="K50" s="229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</row>
    <row r="51" spans="1:23" ht="31.2" x14ac:dyDescent="0.35">
      <c r="A51" s="102" t="s">
        <v>52</v>
      </c>
      <c r="B51" s="22">
        <v>3015</v>
      </c>
      <c r="C51" s="55">
        <v>0</v>
      </c>
      <c r="D51" s="55">
        <f>'Додаток 1 Фін.план'!I62</f>
        <v>0</v>
      </c>
      <c r="E51" s="89">
        <f t="shared" si="1"/>
        <v>0</v>
      </c>
      <c r="F51" s="92">
        <v>0</v>
      </c>
      <c r="G51" s="55">
        <f>'Додаток 1 Фін.план'!F62+'Додаток 1 Фін.план'!G62+'Додаток 2 Фін.звіт'!C51</f>
        <v>0</v>
      </c>
      <c r="H51" s="55">
        <f>'Додаток 1 Фін.план'!F62+'Додаток 1 Фін.план'!G62+'Додаток 1 Фін.план'!H62</f>
        <v>0</v>
      </c>
      <c r="I51" s="89">
        <f t="shared" si="6"/>
        <v>0</v>
      </c>
      <c r="J51" s="89">
        <v>0</v>
      </c>
      <c r="K51" s="229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</row>
    <row r="52" spans="1:23" x14ac:dyDescent="0.35">
      <c r="A52" s="102" t="s">
        <v>16</v>
      </c>
      <c r="B52" s="22">
        <v>3016</v>
      </c>
      <c r="C52" s="55">
        <v>0</v>
      </c>
      <c r="D52" s="55">
        <f>'Додаток 1 Фін.план'!I63</f>
        <v>0</v>
      </c>
      <c r="E52" s="89">
        <f t="shared" si="1"/>
        <v>0</v>
      </c>
      <c r="F52" s="92">
        <v>0</v>
      </c>
      <c r="G52" s="55">
        <f>'Додаток 1 Фін.план'!F63+'Додаток 1 Фін.план'!G63+'Додаток 2 Фін.звіт'!C52</f>
        <v>0</v>
      </c>
      <c r="H52" s="55">
        <f>'Додаток 1 Фін.план'!F63+'Додаток 1 Фін.план'!G63+'Додаток 1 Фін.план'!H63</f>
        <v>0</v>
      </c>
      <c r="I52" s="89">
        <f t="shared" si="6"/>
        <v>0</v>
      </c>
      <c r="J52" s="89">
        <v>0</v>
      </c>
      <c r="K52" s="229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</row>
    <row r="53" spans="1:23" x14ac:dyDescent="0.35">
      <c r="A53" s="205" t="s">
        <v>54</v>
      </c>
      <c r="B53" s="206"/>
      <c r="C53" s="206"/>
      <c r="D53" s="206"/>
      <c r="E53" s="206"/>
      <c r="F53" s="206"/>
      <c r="G53" s="206"/>
      <c r="H53" s="206"/>
      <c r="I53" s="206"/>
      <c r="J53" s="208"/>
    </row>
    <row r="54" spans="1:23" x14ac:dyDescent="0.35">
      <c r="A54" s="27" t="s">
        <v>55</v>
      </c>
      <c r="B54" s="60">
        <v>4010</v>
      </c>
      <c r="C54" s="94">
        <f>C55+C56+C57+C58</f>
        <v>0</v>
      </c>
      <c r="D54" s="94">
        <f>D55+D56+D57+D58</f>
        <v>0</v>
      </c>
      <c r="E54" s="84">
        <f t="shared" si="1"/>
        <v>0</v>
      </c>
      <c r="F54" s="75">
        <v>0</v>
      </c>
      <c r="G54" s="94">
        <f>G55+G56+G57+G58</f>
        <v>0</v>
      </c>
      <c r="H54" s="94">
        <f>H55+H56+H57+H58</f>
        <v>0</v>
      </c>
      <c r="I54" s="84">
        <f t="shared" ref="I54:I63" si="8">H54-G54</f>
        <v>0</v>
      </c>
      <c r="J54" s="84">
        <v>0</v>
      </c>
    </row>
    <row r="55" spans="1:23" x14ac:dyDescent="0.35">
      <c r="A55" s="19" t="s">
        <v>56</v>
      </c>
      <c r="B55" s="20">
        <v>4011</v>
      </c>
      <c r="C55" s="55">
        <v>0</v>
      </c>
      <c r="D55" s="55">
        <v>0</v>
      </c>
      <c r="E55" s="89">
        <f t="shared" si="1"/>
        <v>0</v>
      </c>
      <c r="F55" s="92">
        <v>0</v>
      </c>
      <c r="G55" s="92">
        <v>0</v>
      </c>
      <c r="H55" s="90">
        <v>0</v>
      </c>
      <c r="I55" s="89">
        <f t="shared" si="8"/>
        <v>0</v>
      </c>
      <c r="J55" s="89">
        <v>0</v>
      </c>
    </row>
    <row r="56" spans="1:23" x14ac:dyDescent="0.35">
      <c r="A56" s="19" t="s">
        <v>57</v>
      </c>
      <c r="B56" s="22">
        <v>4012</v>
      </c>
      <c r="C56" s="55">
        <v>0</v>
      </c>
      <c r="D56" s="55">
        <v>0</v>
      </c>
      <c r="E56" s="89">
        <f t="shared" si="1"/>
        <v>0</v>
      </c>
      <c r="F56" s="92">
        <v>0</v>
      </c>
      <c r="G56" s="92">
        <v>0</v>
      </c>
      <c r="H56" s="90">
        <v>0</v>
      </c>
      <c r="I56" s="89">
        <f t="shared" si="8"/>
        <v>0</v>
      </c>
      <c r="J56" s="89">
        <v>0</v>
      </c>
    </row>
    <row r="57" spans="1:23" x14ac:dyDescent="0.35">
      <c r="A57" s="19" t="s">
        <v>58</v>
      </c>
      <c r="B57" s="22">
        <v>4013</v>
      </c>
      <c r="C57" s="55">
        <v>0</v>
      </c>
      <c r="D57" s="55">
        <v>0</v>
      </c>
      <c r="E57" s="89">
        <f t="shared" si="1"/>
        <v>0</v>
      </c>
      <c r="F57" s="92">
        <v>0</v>
      </c>
      <c r="G57" s="92">
        <v>0</v>
      </c>
      <c r="H57" s="90">
        <v>0</v>
      </c>
      <c r="I57" s="89">
        <f t="shared" si="8"/>
        <v>0</v>
      </c>
      <c r="J57" s="89">
        <v>0</v>
      </c>
    </row>
    <row r="58" spans="1:23" x14ac:dyDescent="0.35">
      <c r="A58" s="19" t="s">
        <v>59</v>
      </c>
      <c r="B58" s="22">
        <v>4020</v>
      </c>
      <c r="C58" s="55">
        <v>0</v>
      </c>
      <c r="D58" s="55">
        <v>0</v>
      </c>
      <c r="E58" s="89">
        <f t="shared" si="1"/>
        <v>0</v>
      </c>
      <c r="F58" s="92">
        <v>0</v>
      </c>
      <c r="G58" s="92">
        <v>0</v>
      </c>
      <c r="H58" s="90">
        <v>0</v>
      </c>
      <c r="I58" s="89">
        <f t="shared" si="8"/>
        <v>0</v>
      </c>
      <c r="J58" s="89">
        <v>0</v>
      </c>
    </row>
    <row r="59" spans="1:23" x14ac:dyDescent="0.35">
      <c r="A59" s="24" t="s">
        <v>60</v>
      </c>
      <c r="B59" s="25">
        <v>4030</v>
      </c>
      <c r="C59" s="54">
        <f>C60+C61+C62+C63</f>
        <v>0</v>
      </c>
      <c r="D59" s="54">
        <f>D60+D61+D62+D63</f>
        <v>0</v>
      </c>
      <c r="E59" s="84">
        <f t="shared" si="1"/>
        <v>0</v>
      </c>
      <c r="F59" s="75">
        <v>0</v>
      </c>
      <c r="G59" s="54">
        <f>G60+G61+G62+G63</f>
        <v>0</v>
      </c>
      <c r="H59" s="54">
        <f>H60+H61+H62+H63</f>
        <v>0</v>
      </c>
      <c r="I59" s="84">
        <f t="shared" si="8"/>
        <v>0</v>
      </c>
      <c r="J59" s="84">
        <v>0</v>
      </c>
    </row>
    <row r="60" spans="1:23" x14ac:dyDescent="0.35">
      <c r="A60" s="19" t="s">
        <v>56</v>
      </c>
      <c r="B60" s="22">
        <v>4031</v>
      </c>
      <c r="C60" s="55">
        <v>0</v>
      </c>
      <c r="D60" s="55">
        <v>0</v>
      </c>
      <c r="E60" s="89">
        <f t="shared" si="1"/>
        <v>0</v>
      </c>
      <c r="F60" s="92">
        <v>0</v>
      </c>
      <c r="G60" s="92">
        <v>0</v>
      </c>
      <c r="H60" s="90">
        <v>0</v>
      </c>
      <c r="I60" s="89">
        <f t="shared" si="8"/>
        <v>0</v>
      </c>
      <c r="J60" s="89">
        <v>0</v>
      </c>
    </row>
    <row r="61" spans="1:23" x14ac:dyDescent="0.35">
      <c r="A61" s="19" t="s">
        <v>57</v>
      </c>
      <c r="B61" s="22">
        <v>4032</v>
      </c>
      <c r="C61" s="55">
        <v>0</v>
      </c>
      <c r="D61" s="55">
        <v>0</v>
      </c>
      <c r="E61" s="89">
        <f t="shared" si="1"/>
        <v>0</v>
      </c>
      <c r="F61" s="92">
        <v>0</v>
      </c>
      <c r="G61" s="92">
        <v>0</v>
      </c>
      <c r="H61" s="90">
        <v>0</v>
      </c>
      <c r="I61" s="89">
        <f t="shared" si="8"/>
        <v>0</v>
      </c>
      <c r="J61" s="89">
        <v>0</v>
      </c>
    </row>
    <row r="62" spans="1:23" x14ac:dyDescent="0.35">
      <c r="A62" s="19" t="s">
        <v>58</v>
      </c>
      <c r="B62" s="22">
        <v>4033</v>
      </c>
      <c r="C62" s="55">
        <v>0</v>
      </c>
      <c r="D62" s="55">
        <v>0</v>
      </c>
      <c r="E62" s="89">
        <f t="shared" si="1"/>
        <v>0</v>
      </c>
      <c r="F62" s="92">
        <v>0</v>
      </c>
      <c r="G62" s="92">
        <v>0</v>
      </c>
      <c r="H62" s="90">
        <v>0</v>
      </c>
      <c r="I62" s="89">
        <f t="shared" si="8"/>
        <v>0</v>
      </c>
      <c r="J62" s="89">
        <v>0</v>
      </c>
    </row>
    <row r="63" spans="1:23" x14ac:dyDescent="0.35">
      <c r="A63" s="23" t="s">
        <v>61</v>
      </c>
      <c r="B63" s="22">
        <v>4040</v>
      </c>
      <c r="C63" s="55">
        <v>0</v>
      </c>
      <c r="D63" s="55">
        <v>0</v>
      </c>
      <c r="E63" s="89">
        <f t="shared" si="1"/>
        <v>0</v>
      </c>
      <c r="F63" s="92">
        <v>0</v>
      </c>
      <c r="G63" s="92">
        <v>0</v>
      </c>
      <c r="H63" s="90">
        <v>0</v>
      </c>
      <c r="I63" s="89">
        <f t="shared" si="8"/>
        <v>0</v>
      </c>
      <c r="J63" s="89">
        <v>0</v>
      </c>
    </row>
    <row r="64" spans="1:23" x14ac:dyDescent="0.35">
      <c r="A64" s="209" t="s">
        <v>90</v>
      </c>
      <c r="B64" s="210"/>
      <c r="C64" s="210"/>
      <c r="D64" s="210"/>
      <c r="E64" s="210"/>
      <c r="F64" s="210"/>
      <c r="G64" s="210"/>
      <c r="H64" s="210"/>
      <c r="I64" s="210"/>
      <c r="J64" s="211"/>
    </row>
    <row r="65" spans="1:11" x14ac:dyDescent="0.35">
      <c r="A65" s="68" t="s">
        <v>83</v>
      </c>
      <c r="B65" s="60">
        <v>5010</v>
      </c>
      <c r="C65" s="84">
        <f>C66</f>
        <v>26130130.59</v>
      </c>
      <c r="D65" s="84">
        <f>D40-D41</f>
        <v>5116853.3699999899</v>
      </c>
      <c r="E65" s="84">
        <f t="shared" si="1"/>
        <v>-21013277.22000001</v>
      </c>
      <c r="F65" s="75">
        <f>(D65/C65)*100</f>
        <v>19.58219593421477</v>
      </c>
      <c r="G65" s="84">
        <f>G40-G41</f>
        <v>33492694.180000007</v>
      </c>
      <c r="H65" s="84">
        <f>H40-H41</f>
        <v>13831547.919999987</v>
      </c>
      <c r="I65" s="84">
        <f>H65-G65</f>
        <v>-19661146.26000002</v>
      </c>
      <c r="J65" s="84">
        <f>(H65/G65)*100</f>
        <v>41.297209014195772</v>
      </c>
      <c r="K65" s="101"/>
    </row>
    <row r="66" spans="1:11" x14ac:dyDescent="0.35">
      <c r="A66" s="62" t="s">
        <v>84</v>
      </c>
      <c r="B66" s="17">
        <v>5011</v>
      </c>
      <c r="C66" s="89">
        <v>26130130.59</v>
      </c>
      <c r="D66" s="89">
        <f>D65-D67</f>
        <v>5116853.3699999899</v>
      </c>
      <c r="E66" s="89">
        <f t="shared" si="1"/>
        <v>-21013277.22000001</v>
      </c>
      <c r="F66" s="92">
        <f>(D66/C66)*100</f>
        <v>19.58219593421477</v>
      </c>
      <c r="G66" s="89">
        <f>G65-G67</f>
        <v>33492694.180000007</v>
      </c>
      <c r="H66" s="89">
        <f>H65-H67</f>
        <v>13831547.919999987</v>
      </c>
      <c r="I66" s="89">
        <f>H66-G66</f>
        <v>-19661146.26000002</v>
      </c>
      <c r="J66" s="89">
        <f>(H66/G66)*100</f>
        <v>41.297209014195772</v>
      </c>
    </row>
    <row r="67" spans="1:11" x14ac:dyDescent="0.35">
      <c r="A67" s="69" t="s">
        <v>85</v>
      </c>
      <c r="B67" s="17">
        <v>5012</v>
      </c>
      <c r="C67" s="89"/>
      <c r="D67" s="89"/>
      <c r="E67" s="89"/>
      <c r="F67" s="92">
        <v>0</v>
      </c>
      <c r="G67" s="89"/>
      <c r="H67" s="90"/>
      <c r="I67" s="90"/>
      <c r="J67" s="89">
        <v>0</v>
      </c>
    </row>
    <row r="68" spans="1:11" x14ac:dyDescent="0.35">
      <c r="A68" s="205" t="s">
        <v>91</v>
      </c>
      <c r="B68" s="206"/>
      <c r="C68" s="206"/>
      <c r="D68" s="206"/>
      <c r="E68" s="206"/>
      <c r="F68" s="206"/>
      <c r="G68" s="206"/>
      <c r="H68" s="206"/>
      <c r="I68" s="206"/>
      <c r="J68" s="207"/>
    </row>
    <row r="69" spans="1:11" x14ac:dyDescent="0.35">
      <c r="A69" s="56" t="s">
        <v>49</v>
      </c>
      <c r="B69" s="60">
        <v>6010</v>
      </c>
      <c r="C69" s="84">
        <f>C70+C71+C72+C73+C74+C75</f>
        <v>8020811.3799999999</v>
      </c>
      <c r="D69" s="84">
        <f>D70+D71+D72+D73+D74+D75</f>
        <v>6513548.1700000009</v>
      </c>
      <c r="E69" s="84">
        <f t="shared" ref="E69:E75" si="9">D69-C69</f>
        <v>-1507263.209999999</v>
      </c>
      <c r="F69" s="75">
        <f t="shared" ref="F69:F75" si="10">(D69/C69)*100</f>
        <v>81.208095558033193</v>
      </c>
      <c r="G69" s="84">
        <f>G70+G71+G72+G73+G74+G75</f>
        <v>13067064.140000001</v>
      </c>
      <c r="H69" s="84">
        <f>H70+H71+H72+H73+H74+H75</f>
        <v>17270002.52</v>
      </c>
      <c r="I69" s="84">
        <f t="shared" ref="I69:I75" si="11">H69-G69</f>
        <v>4202938.379999999</v>
      </c>
      <c r="J69" s="84">
        <f t="shared" ref="J69:J75" si="12">(H69/G69)*100</f>
        <v>132.16436634097673</v>
      </c>
    </row>
    <row r="70" spans="1:11" x14ac:dyDescent="0.35">
      <c r="A70" s="38" t="s">
        <v>43</v>
      </c>
      <c r="B70" s="20">
        <v>6011</v>
      </c>
      <c r="C70" s="53">
        <v>0</v>
      </c>
      <c r="D70" s="53">
        <f>'Додаток 1 Фін.план'!H81</f>
        <v>0</v>
      </c>
      <c r="E70" s="89">
        <f t="shared" si="9"/>
        <v>0</v>
      </c>
      <c r="F70" s="92">
        <v>0</v>
      </c>
      <c r="G70" s="74">
        <f>C70</f>
        <v>0</v>
      </c>
      <c r="H70" s="55">
        <f>'Додаток 1 Фін.план'!F81+'Додаток 1 Фін.план'!G81+'Додаток 1 Фін.план'!H81</f>
        <v>0</v>
      </c>
      <c r="I70" s="89">
        <f t="shared" si="11"/>
        <v>0</v>
      </c>
      <c r="J70" s="89">
        <v>0</v>
      </c>
    </row>
    <row r="71" spans="1:11" x14ac:dyDescent="0.35">
      <c r="A71" s="26" t="s">
        <v>44</v>
      </c>
      <c r="B71" s="20">
        <v>6012</v>
      </c>
      <c r="C71" s="55">
        <v>290063.46999999997</v>
      </c>
      <c r="D71" s="53">
        <f>'Додаток 1 Фін.план'!H82</f>
        <v>232350.05</v>
      </c>
      <c r="E71" s="89">
        <f t="shared" si="9"/>
        <v>-57713.419999999984</v>
      </c>
      <c r="F71" s="92">
        <f t="shared" si="10"/>
        <v>80.10317534986396</v>
      </c>
      <c r="G71" s="74">
        <f>181930.81+C71</f>
        <v>471994.27999999997</v>
      </c>
      <c r="H71" s="55">
        <f>'Додаток 1 Фін.план'!F82+'Додаток 1 Фін.план'!G82+'Додаток 1 Фін.план'!H82</f>
        <v>619955.83000000007</v>
      </c>
      <c r="I71" s="89">
        <f t="shared" si="11"/>
        <v>147961.5500000001</v>
      </c>
      <c r="J71" s="89">
        <f t="shared" si="12"/>
        <v>131.34816591421406</v>
      </c>
    </row>
    <row r="72" spans="1:11" x14ac:dyDescent="0.35">
      <c r="A72" s="26" t="s">
        <v>45</v>
      </c>
      <c r="B72" s="20">
        <v>6013</v>
      </c>
      <c r="C72" s="55">
        <v>0</v>
      </c>
      <c r="D72" s="53">
        <f>'Додаток 1 Фін.план'!H83</f>
        <v>0</v>
      </c>
      <c r="E72" s="89">
        <f t="shared" si="9"/>
        <v>0</v>
      </c>
      <c r="F72" s="92">
        <v>0</v>
      </c>
      <c r="G72" s="74">
        <f>C72</f>
        <v>0</v>
      </c>
      <c r="H72" s="55">
        <f>'Додаток 1 Фін.план'!F83+'Додаток 1 Фін.план'!G83+'Додаток 1 Фін.план'!H83</f>
        <v>0</v>
      </c>
      <c r="I72" s="89">
        <f t="shared" si="11"/>
        <v>0</v>
      </c>
      <c r="J72" s="89">
        <v>0</v>
      </c>
    </row>
    <row r="73" spans="1:11" x14ac:dyDescent="0.35">
      <c r="A73" s="26" t="s">
        <v>46</v>
      </c>
      <c r="B73" s="20">
        <v>6014</v>
      </c>
      <c r="C73" s="55">
        <v>3480762.06</v>
      </c>
      <c r="D73" s="53">
        <f>'Додаток 1 Фін.план'!H84</f>
        <v>2788325.18</v>
      </c>
      <c r="E73" s="89">
        <f t="shared" si="9"/>
        <v>-692436.87999999989</v>
      </c>
      <c r="F73" s="92">
        <f t="shared" si="10"/>
        <v>80.106744785651912</v>
      </c>
      <c r="G73" s="74">
        <f>2183168.5+C73</f>
        <v>5663930.5600000005</v>
      </c>
      <c r="H73" s="55">
        <f>'Додаток 1 Фін.план'!F84+'Додаток 1 Фін.план'!G84+'Додаток 1 Фін.план'!H84</f>
        <v>7410323.2899999991</v>
      </c>
      <c r="I73" s="89">
        <f t="shared" si="11"/>
        <v>1746392.7299999986</v>
      </c>
      <c r="J73" s="89">
        <f t="shared" si="12"/>
        <v>130.83358299505704</v>
      </c>
    </row>
    <row r="74" spans="1:11" x14ac:dyDescent="0.35">
      <c r="A74" s="71" t="s">
        <v>47</v>
      </c>
      <c r="B74" s="20">
        <v>6015</v>
      </c>
      <c r="C74" s="96">
        <v>4249985.8499999996</v>
      </c>
      <c r="D74" s="53">
        <f>'Додаток 1 Фін.план'!H85</f>
        <v>3492872.9400000009</v>
      </c>
      <c r="E74" s="89">
        <f t="shared" si="9"/>
        <v>-757112.90999999875</v>
      </c>
      <c r="F74" s="92">
        <f t="shared" si="10"/>
        <v>82.185519276493622</v>
      </c>
      <c r="G74" s="74">
        <f>2681153.45+C74</f>
        <v>6931139.2999999998</v>
      </c>
      <c r="H74" s="55">
        <f>'Додаток 1 Фін.план'!F85+'Додаток 1 Фін.план'!G85+'Додаток 1 Фін.план'!H85</f>
        <v>9239723.4000000004</v>
      </c>
      <c r="I74" s="89">
        <f t="shared" si="11"/>
        <v>2308584.1000000006</v>
      </c>
      <c r="J74" s="89">
        <f t="shared" si="12"/>
        <v>133.30742609660146</v>
      </c>
    </row>
    <row r="75" spans="1:11" x14ac:dyDescent="0.35">
      <c r="A75" s="28" t="s">
        <v>48</v>
      </c>
      <c r="B75" s="20">
        <v>6016</v>
      </c>
      <c r="C75" s="89">
        <v>0</v>
      </c>
      <c r="D75" s="53">
        <f>'Додаток 1 Фін.план'!H86</f>
        <v>0</v>
      </c>
      <c r="E75" s="89">
        <f t="shared" si="9"/>
        <v>0</v>
      </c>
      <c r="F75" s="92">
        <v>0</v>
      </c>
      <c r="G75" s="74">
        <f>C75</f>
        <v>0</v>
      </c>
      <c r="H75" s="55">
        <f>'Додаток 1 Фін.план'!F86+'Додаток 1 Фін.план'!G86+'Додаток 1 Фін.план'!H86</f>
        <v>0</v>
      </c>
      <c r="I75" s="89">
        <f t="shared" si="11"/>
        <v>0</v>
      </c>
      <c r="J75" s="89">
        <v>0</v>
      </c>
    </row>
    <row r="76" spans="1:11" x14ac:dyDescent="0.35">
      <c r="A76" s="212" t="s">
        <v>92</v>
      </c>
      <c r="B76" s="213"/>
      <c r="C76" s="213"/>
      <c r="D76" s="213"/>
      <c r="E76" s="213"/>
      <c r="F76" s="213"/>
      <c r="G76" s="213"/>
      <c r="H76" s="213"/>
      <c r="I76" s="213"/>
      <c r="J76" s="214"/>
    </row>
    <row r="77" spans="1:11" x14ac:dyDescent="0.35">
      <c r="A77" s="41" t="s">
        <v>75</v>
      </c>
      <c r="B77" s="20">
        <v>7010</v>
      </c>
      <c r="C77" s="30"/>
      <c r="D77" s="30"/>
      <c r="E77" s="30"/>
      <c r="F77" s="30"/>
      <c r="G77" s="30">
        <v>357</v>
      </c>
      <c r="H77" s="30">
        <v>357</v>
      </c>
      <c r="I77" s="30">
        <v>357</v>
      </c>
      <c r="J77" s="30">
        <v>357</v>
      </c>
    </row>
    <row r="78" spans="1:11" x14ac:dyDescent="0.35">
      <c r="A78" s="41"/>
      <c r="B78" s="20"/>
      <c r="C78" s="30"/>
      <c r="D78" s="30"/>
      <c r="E78" s="30"/>
      <c r="F78" s="30"/>
      <c r="G78" s="30" t="s">
        <v>93</v>
      </c>
      <c r="H78" s="103" t="s">
        <v>95</v>
      </c>
      <c r="I78" s="103" t="s">
        <v>96</v>
      </c>
      <c r="J78" s="103" t="s">
        <v>94</v>
      </c>
      <c r="K78" s="98"/>
    </row>
    <row r="79" spans="1:11" x14ac:dyDescent="0.35">
      <c r="A79" s="41" t="s">
        <v>53</v>
      </c>
      <c r="B79" s="22">
        <v>7011</v>
      </c>
      <c r="C79" s="15"/>
      <c r="D79" s="15"/>
      <c r="E79" s="15"/>
      <c r="F79" s="15"/>
      <c r="G79" s="55">
        <f>'Додаток 1 Фін.план'!F90</f>
        <v>74944067.280000001</v>
      </c>
      <c r="H79" s="55">
        <f>'Додаток 1 Фін.план'!G90</f>
        <v>80087767.670000002</v>
      </c>
      <c r="I79" s="15">
        <v>81589787.659999996</v>
      </c>
      <c r="J79" s="21">
        <f>'Додаток 1 Фін.план'!I90</f>
        <v>81392836.180000007</v>
      </c>
    </row>
    <row r="80" spans="1:11" x14ac:dyDescent="0.35">
      <c r="A80" s="41" t="s">
        <v>76</v>
      </c>
      <c r="B80" s="22">
        <v>7012</v>
      </c>
      <c r="C80" s="15"/>
      <c r="D80" s="15"/>
      <c r="E80" s="15"/>
      <c r="F80" s="15"/>
      <c r="G80" s="55">
        <f>'Додаток 1 Фін.план'!F91</f>
        <v>0</v>
      </c>
      <c r="H80" s="55">
        <f>'Додаток 1 Фін.план'!G91</f>
        <v>0</v>
      </c>
      <c r="I80" s="111">
        <v>0</v>
      </c>
      <c r="J80" s="21">
        <f>'Додаток 1 Фін.план'!I91</f>
        <v>0</v>
      </c>
    </row>
    <row r="81" spans="1:10" x14ac:dyDescent="0.35">
      <c r="A81" s="41" t="s">
        <v>77</v>
      </c>
      <c r="B81" s="22">
        <v>7013</v>
      </c>
      <c r="C81" s="15"/>
      <c r="D81" s="15"/>
      <c r="E81" s="15"/>
      <c r="F81" s="15"/>
      <c r="G81" s="55">
        <f>'Додаток 1 Фін.план'!F92</f>
        <v>0</v>
      </c>
      <c r="H81" s="55">
        <f>'Додаток 1 Фін.план'!G92</f>
        <v>0</v>
      </c>
      <c r="I81" s="111">
        <v>0</v>
      </c>
      <c r="J81" s="21">
        <f>'Додаток 1 Фін.план'!I92</f>
        <v>0</v>
      </c>
    </row>
    <row r="82" spans="1:10" x14ac:dyDescent="0.35">
      <c r="A82" s="41" t="s">
        <v>78</v>
      </c>
      <c r="B82" s="44">
        <v>7016</v>
      </c>
      <c r="C82" s="45"/>
      <c r="D82" s="45"/>
      <c r="E82" s="45"/>
      <c r="F82" s="45"/>
      <c r="G82" s="55">
        <f>'Додаток 1 Фін.план'!F93</f>
        <v>3631904</v>
      </c>
      <c r="H82" s="55">
        <f>'Додаток 1 Фін.план'!G93</f>
        <v>6631199.8700000001</v>
      </c>
      <c r="I82" s="112">
        <v>3763544.33</v>
      </c>
      <c r="J82" s="21">
        <f>'Додаток 1 Фін.план'!I93</f>
        <v>3046919.35</v>
      </c>
    </row>
    <row r="83" spans="1:10" x14ac:dyDescent="0.35">
      <c r="A83" s="41" t="s">
        <v>79</v>
      </c>
      <c r="B83" s="17">
        <v>7020</v>
      </c>
      <c r="C83" s="59"/>
      <c r="D83" s="59"/>
      <c r="E83" s="59"/>
      <c r="F83" s="59"/>
      <c r="G83" s="55">
        <f>'Додаток 1 Фін.план'!F94</f>
        <v>75309.19</v>
      </c>
      <c r="H83" s="55">
        <f>'Додаток 1 Фін.план'!G94</f>
        <v>4040270.28</v>
      </c>
      <c r="I83" s="111">
        <v>81080</v>
      </c>
      <c r="J83" s="21">
        <f>'Додаток 1 Фін.план'!I94</f>
        <v>0</v>
      </c>
    </row>
    <row r="84" spans="1:10" x14ac:dyDescent="0.35">
      <c r="A84" s="42"/>
      <c r="B84" s="39"/>
      <c r="C84" s="40"/>
      <c r="D84" s="40"/>
      <c r="E84" s="40"/>
      <c r="F84" s="40"/>
      <c r="G84" s="40"/>
      <c r="H84" s="43"/>
      <c r="I84" s="43"/>
      <c r="J84" s="43"/>
    </row>
    <row r="85" spans="1:10" x14ac:dyDescent="0.35">
      <c r="A85" s="32" t="s">
        <v>17</v>
      </c>
      <c r="B85" s="33"/>
      <c r="C85" s="51"/>
      <c r="D85" s="33"/>
      <c r="E85" s="34"/>
      <c r="F85" s="231" t="s">
        <v>122</v>
      </c>
      <c r="G85" s="231"/>
      <c r="H85" s="35"/>
      <c r="I85" s="36"/>
      <c r="J85" s="36"/>
    </row>
    <row r="86" spans="1:10" x14ac:dyDescent="0.35">
      <c r="A86" s="37"/>
      <c r="B86" s="52"/>
      <c r="C86" s="136" t="s">
        <v>18</v>
      </c>
      <c r="D86" s="48"/>
      <c r="E86" s="190" t="s">
        <v>19</v>
      </c>
      <c r="F86" s="190"/>
      <c r="G86" s="190"/>
    </row>
    <row r="87" spans="1:10" x14ac:dyDescent="0.35">
      <c r="A87" s="37" t="s">
        <v>20</v>
      </c>
      <c r="B87" s="52"/>
      <c r="C87" s="51"/>
      <c r="D87" s="52"/>
      <c r="E87" s="52"/>
      <c r="F87" s="215" t="s">
        <v>126</v>
      </c>
      <c r="G87" s="215"/>
    </row>
    <row r="88" spans="1:10" x14ac:dyDescent="0.35">
      <c r="A88" s="37"/>
      <c r="B88" s="52"/>
      <c r="C88" s="136" t="s">
        <v>18</v>
      </c>
      <c r="D88" s="48"/>
      <c r="E88" s="190" t="s">
        <v>19</v>
      </c>
      <c r="F88" s="190"/>
      <c r="G88" s="190"/>
    </row>
    <row r="89" spans="1:10" x14ac:dyDescent="0.35">
      <c r="A89"/>
      <c r="B89"/>
      <c r="C89" s="130"/>
      <c r="D89"/>
      <c r="E89"/>
      <c r="F89"/>
      <c r="G89" s="130"/>
    </row>
    <row r="90" spans="1:10" x14ac:dyDescent="0.35">
      <c r="A90"/>
      <c r="B90"/>
      <c r="C90" s="130"/>
      <c r="D90"/>
      <c r="E90"/>
      <c r="F90"/>
      <c r="G90" s="130"/>
    </row>
    <row r="91" spans="1:10" x14ac:dyDescent="0.35">
      <c r="A91"/>
      <c r="B91"/>
      <c r="C91" s="130"/>
      <c r="D91"/>
      <c r="E91"/>
      <c r="F91"/>
      <c r="G91" s="130"/>
    </row>
  </sheetData>
  <mergeCells count="21">
    <mergeCell ref="A7:J7"/>
    <mergeCell ref="E2:J2"/>
    <mergeCell ref="A4:J4"/>
    <mergeCell ref="A5:J5"/>
    <mergeCell ref="A6:J6"/>
    <mergeCell ref="A28:J28"/>
    <mergeCell ref="A42:J42"/>
    <mergeCell ref="A76:J76"/>
    <mergeCell ref="A64:J64"/>
    <mergeCell ref="A9:A10"/>
    <mergeCell ref="B9:B10"/>
    <mergeCell ref="G9:J9"/>
    <mergeCell ref="C9:F9"/>
    <mergeCell ref="A53:J53"/>
    <mergeCell ref="A68:J68"/>
    <mergeCell ref="A12:J12"/>
    <mergeCell ref="K47:W52"/>
    <mergeCell ref="E88:G88"/>
    <mergeCell ref="F85:G85"/>
    <mergeCell ref="E86:G86"/>
    <mergeCell ref="F87:G87"/>
  </mergeCells>
  <phoneticPr fontId="0" type="noConversion"/>
  <pageMargins left="0.43307086614173229" right="0.23622047244094491" top="0.45" bottom="0.25" header="0.45" footer="0.25"/>
  <pageSetup paperSize="9" scale="55" fitToHeight="2" orientation="landscape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 Фін.план</vt:lpstr>
      <vt:lpstr>Додаток 2 Фін.звіт</vt:lpstr>
      <vt:lpstr>'Додаток 1 Фін.план'!Область_печати</vt:lpstr>
      <vt:lpstr>'Додаток 2 Фін.звіт'!Область_печати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2023-02-08T15:35:38Z</cp:lastPrinted>
  <dcterms:created xsi:type="dcterms:W3CDTF">2015-06-05T18:19:34Z</dcterms:created>
  <dcterms:modified xsi:type="dcterms:W3CDTF">2023-02-13T08:00:12Z</dcterms:modified>
</cp:coreProperties>
</file>